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600" firstSheet="0" activeTab="0" autoFilterDateGrouping="1"/>
  </bookViews>
  <sheets>
    <sheet xmlns:r="http://schemas.openxmlformats.org/officeDocument/2006/relationships" name="Inicio" sheetId="1" state="visible" r:id="rId1"/>
    <sheet xmlns:r="http://schemas.openxmlformats.org/officeDocument/2006/relationships" name="Parámetros LatAm" sheetId="2" state="visible" r:id="rId2"/>
    <sheet xmlns:r="http://schemas.openxmlformats.org/officeDocument/2006/relationships" name="H1 Densidad" sheetId="3" state="visible" r:id="rId3"/>
  </sheets>
  <definedNames>
    <definedName name="IR_BO" hidden="0" function="0" vbProcedure="0">'Parámetros LatAm'!$D$41</definedName>
    <definedName name="IR_BR" hidden="0" function="0" vbProcedure="0">'Parámetros LatAm'!$D$48</definedName>
    <definedName name="IR_CO" hidden="0" function="0" vbProcedure="0">'Parámetros LatAm'!$D$27</definedName>
    <definedName name="IR_EC" hidden="0" function="0" vbProcedure="0">'Parámetros LatAm'!$D$34</definedName>
    <definedName name="IR_MX" hidden="0" function="0" vbProcedure="0">'Parámetros LatAm'!$D$55</definedName>
    <definedName name="IR_OTRO" hidden="0" function="0" vbProcedure="0">'Parámetros LatAm'!$D$62</definedName>
    <definedName name="IR_PE" hidden="0" function="0" vbProcedure="0">'Parámetros LatAm'!$D$20</definedName>
    <definedName name="IR_SEL" hidden="0" function="0" vbProcedure="0">'Parámetros LatAm'!$D$13</definedName>
    <definedName name="IVA_BO" hidden="0" function="0" vbProcedure="0">'Parámetros LatAm'!$D$40</definedName>
    <definedName name="IVA_BR" hidden="0" function="0" vbProcedure="0">'Parámetros LatAm'!$D$47</definedName>
    <definedName name="IVA_CO" hidden="0" function="0" vbProcedure="0">'Parámetros LatAm'!$D$26</definedName>
    <definedName name="IVA_EC" hidden="0" function="0" vbProcedure="0">'Parámetros LatAm'!$D$33</definedName>
    <definedName name="IVA_MX" hidden="0" function="0" vbProcedure="0">'Parámetros LatAm'!$D$54</definedName>
    <definedName name="IVA_OTRO" hidden="0" function="0" vbProcedure="0">'Parámetros LatAm'!$D$61</definedName>
    <definedName name="IVA_PE" hidden="0" function="0" vbProcedure="0">'Parámetros LatAm'!$D$19</definedName>
    <definedName name="IVA_SEL" hidden="0" function="0" vbProcedure="0">'Parámetros LatAm'!$D$12</definedName>
    <definedName name="KG_POR_T" hidden="0" function="0" vbProcedure="0">'Parámetros LatAm'!$D$68</definedName>
    <definedName name="lista_base_merma" hidden="0" function="0" vbProcedure="0">'Parámetros LatAm'!$R$24:$R$26</definedName>
    <definedName name="lista_coinciden" hidden="0" function="0" vbProcedure="0">'Parámetros LatAm'!$R$33:$R$35</definedName>
    <definedName name="lista_conv_merma" hidden="0" function="0" vbProcedure="0">'Parámetros LatAm'!$R$29:$R$30</definedName>
    <definedName name="lista_lado" hidden="0" function="0" vbProcedure="0">'Parámetros LatAm'!$R$38:$R$39</definedName>
    <definedName name="lista_productos" hidden="0" function="0" vbProcedure="0">'Parámetros LatAm'!$L$5:$L$20</definedName>
    <definedName name="lista_transporte" hidden="0" function="0" vbProcedure="0">'Parámetros LatAm'!$R$5:$R$20</definedName>
    <definedName name="MESES" hidden="0" function="0" vbProcedure="0">'Parámetros LatAm'!$D$67</definedName>
    <definedName name="PAIS" hidden="0" function="0" vbProcedure="0">'Parámetros LatAm'!$D$8</definedName>
    <definedName name="SM_BO" hidden="0" function="0" vbProcedure="0">'Parámetros LatAm'!$D$38</definedName>
    <definedName name="SM_BR" hidden="0" function="0" vbProcedure="0">'Parámetros LatAm'!$D$45</definedName>
    <definedName name="SM_CO" hidden="0" function="0" vbProcedure="0">'Parámetros LatAm'!$D$24</definedName>
    <definedName name="SM_EC" hidden="0" function="0" vbProcedure="0">'Parámetros LatAm'!$D$31</definedName>
    <definedName name="SM_MX" hidden="0" function="0" vbProcedure="0">'Parámetros LatAm'!$D$52</definedName>
    <definedName name="SM_OTRO" hidden="0" function="0" vbProcedure="0">'Parámetros LatAm'!$D$59</definedName>
    <definedName name="SM_PE" hidden="0" function="0" vbProcedure="0">'Parámetros LatAm'!$D$17</definedName>
    <definedName name="SM_SEL" hidden="0" function="0" vbProcedure="0">'Parámetros LatAm'!$D$10</definedName>
    <definedName name="SM_USD_BO" hidden="0" function="0" vbProcedure="0">'Parámetros LatAm'!$D$39</definedName>
    <definedName name="SM_USD_BR" hidden="0" function="0" vbProcedure="0">'Parámetros LatAm'!$D$46</definedName>
    <definedName name="SM_USD_CO" hidden="0" function="0" vbProcedure="0">'Parámetros LatAm'!$D$25</definedName>
    <definedName name="SM_USD_EC" hidden="0" function="0" vbProcedure="0">'Parámetros LatAm'!$D$32</definedName>
    <definedName name="SM_USD_MX" hidden="0" function="0" vbProcedure="0">'Parámetros LatAm'!$D$53</definedName>
    <definedName name="SM_USD_OTRO" hidden="0" function="0" vbProcedure="0">'Parámetros LatAm'!$D$60</definedName>
    <definedName name="SM_USD_PE" hidden="0" function="0" vbProcedure="0">'Parámetros LatAm'!$D$18</definedName>
    <definedName name="SM_USD_SEL" hidden="0" function="0" vbProcedure="0">'Parámetros LatAm'!$D$11</definedName>
    <definedName name="tabla_productos" hidden="0" function="0" vbProcedure="0">'Parámetros LatAm'!$L$5:$N$20</definedName>
    <definedName name="tabla_transporte" hidden="0" function="0" vbProcedure="0">'Parámetros LatAm'!$R$5:$S$20</definedName>
    <definedName name="TC_BOB" hidden="0" function="0" vbProcedure="0">'Parámetros LatAm'!$D$37</definedName>
    <definedName name="TC_BRL" hidden="0" function="0" vbProcedure="0">'Parámetros LatAm'!$D$44</definedName>
    <definedName name="TC_COP" hidden="0" function="0" vbProcedure="0">'Parámetros LatAm'!$D$23</definedName>
    <definedName name="TC_EUR" hidden="0" function="0" vbProcedure="0">'Parámetros LatAm'!$D$65</definedName>
    <definedName name="TC_MXN" hidden="0" function="0" vbProcedure="0">'Parámetros LatAm'!$D$51</definedName>
    <definedName name="TC_OTRO" hidden="0" function="0" vbProcedure="0">'Parámetros LatAm'!$D$58</definedName>
    <definedName name="TC_PEN" hidden="0" function="0" vbProcedure="0">'Parámetros LatAm'!$D$16</definedName>
    <definedName name="TC_SEL" hidden="0" function="0" vbProcedure="0">'Parámetros LatAm'!$D$9</definedName>
    <definedName name="TC_USD_EC" hidden="0" function="0" vbProcedure="0">'Parámetros LatAm'!$D$30</definedName>
    <definedName name="TPM_BO" hidden="0" function="0" vbProcedure="0">'Parámetros LatAm'!$D$42</definedName>
    <definedName name="TPM_BR" hidden="0" function="0" vbProcedure="0">'Parámetros LatAm'!$D$49</definedName>
    <definedName name="TPM_CO" hidden="0" function="0" vbProcedure="0">'Parámetros LatAm'!$D$28</definedName>
    <definedName name="TPM_EC" hidden="0" function="0" vbProcedure="0">'Parámetros LatAm'!$D$35</definedName>
    <definedName name="TPM_MX" hidden="0" function="0" vbProcedure="0">'Parámetros LatAm'!$D$56</definedName>
    <definedName name="TPM_OTRO" hidden="0" function="0" vbProcedure="0">'Parámetros LatAm'!$D$63</definedName>
    <definedName name="TPM_PE" hidden="0" function="0" vbProcedure="0">'Parámetros LatAm'!$D$21</definedName>
    <definedName name="TPM_SEL" hidden="0" function="0" vbProcedure="0">'Parámetros LatAm'!$D$14</definedName>
  </definedNames>
  <calcPr calcId="124519" fullCalcOnLoad="1" refMode="A1" iterate="0" iterateCount="100" iterateDelta="0.0001"/>
</workbook>
</file>

<file path=xl/styles.xml><?xml version="1.0" encoding="utf-8"?>
<styleSheet xmlns="http://schemas.openxmlformats.org/spreadsheetml/2006/main">
  <numFmts count="8">
    <numFmt numFmtId="164" formatCode="0.0%"/>
    <numFmt numFmtId="165" formatCode="#,##0.0"/>
    <numFmt numFmtId="166" formatCode="&quot;USD &quot;#,##0;&quot;−USD &quot;#,##0;&quot;USD &quot;0"/>
    <numFmt numFmtId="167" formatCode="0.00\ %"/>
    <numFmt numFmtId="168" formatCode="&quot;USD &quot;#,##0.00;&quot;−USD &quot;#,##0.00;&quot;USD &quot;0.00"/>
    <numFmt numFmtId="169" formatCode="0.0\x"/>
    <numFmt numFmtId="170" formatCode="0.00\x"/>
    <numFmt numFmtId="171" formatCode="0.000"/>
  </numFmts>
  <fonts count="33">
    <font>
      <name val="Calibri"/>
      <charset val="1"/>
      <family val="2"/>
      <color theme="1"/>
      <sz val="11"/>
    </font>
    <font>
      <name val="Arial"/>
      <family val="0"/>
      <sz val="10"/>
    </font>
    <font>
      <name val="Arial"/>
      <family val="0"/>
      <sz val="10"/>
    </font>
    <font>
      <name val="Arial"/>
      <family val="0"/>
      <sz val="10"/>
    </font>
    <font>
      <name val="Arial"/>
      <charset val="1"/>
      <family val="0"/>
      <b val="1"/>
      <color rgb="FFF7F0EA"/>
      <sz val="20"/>
    </font>
    <font>
      <name val="Arial"/>
      <charset val="1"/>
      <family val="0"/>
      <i val="1"/>
      <color rgb="FF1A1216"/>
      <sz val="11"/>
    </font>
    <font>
      <name val="Arial"/>
      <charset val="1"/>
      <family val="0"/>
      <b val="1"/>
      <color rgb="FFF7F0EA"/>
      <sz val="11"/>
    </font>
    <font>
      <name val="Arial"/>
      <charset val="1"/>
      <family val="0"/>
      <color rgb="FFF7F0EA"/>
      <sz val="11"/>
    </font>
    <font>
      <name val="Arial"/>
      <charset val="1"/>
      <family val="0"/>
      <b val="1"/>
      <color rgb="FF1F4FB4"/>
      <sz val="10"/>
    </font>
    <font>
      <name val="Arial"/>
      <charset val="1"/>
      <family val="0"/>
      <color rgb="FF1A1216"/>
      <sz val="10"/>
    </font>
    <font>
      <name val="Arial"/>
      <charset val="1"/>
      <family val="0"/>
      <b val="1"/>
      <color rgb="FF5A1638"/>
      <sz val="10"/>
    </font>
    <font>
      <name val="Arial"/>
      <charset val="1"/>
      <family val="0"/>
      <b val="1"/>
      <color rgb="FF1A1216"/>
      <sz val="10"/>
    </font>
    <font>
      <name val="Arial"/>
      <charset val="1"/>
      <family val="0"/>
      <b val="1"/>
      <color rgb="FF007A33"/>
      <sz val="10"/>
    </font>
    <font>
      <name val="Arial"/>
      <charset val="1"/>
      <family val="0"/>
      <b val="1"/>
      <color rgb="FFF7F0EA"/>
      <sz val="10"/>
    </font>
    <font>
      <name val="Arial"/>
      <charset val="1"/>
      <family val="0"/>
      <i val="1"/>
      <color rgb="FF595959"/>
      <sz val="9"/>
    </font>
    <font>
      <name val="Arial"/>
      <charset val="1"/>
      <family val="0"/>
      <color rgb="FF007A33"/>
      <sz val="10"/>
    </font>
    <font>
      <name val="Arial"/>
      <charset val="1"/>
      <family val="0"/>
      <b val="1"/>
      <color rgb="FFF7F0EA"/>
      <sz val="16"/>
    </font>
    <font>
      <name val="Arial"/>
      <charset val="1"/>
      <family val="0"/>
      <i val="1"/>
      <color rgb="FF1A1216"/>
      <sz val="10"/>
    </font>
    <font>
      <name val="Arial"/>
      <charset val="1"/>
      <family val="0"/>
      <color rgb="FF1A1216"/>
      <sz val="9"/>
    </font>
    <font>
      <name val="Arial"/>
      <charset val="1"/>
      <family val="0"/>
      <color rgb="FF1F4FB4"/>
      <sz val="10"/>
    </font>
    <font>
      <name val="IBM Plex Mono"/>
      <charset val="1"/>
      <family val="0"/>
      <b val="1"/>
      <color rgb="FF1A1216"/>
      <sz val="9"/>
    </font>
    <font>
      <name val="Arial"/>
      <charset val="1"/>
      <family val="0"/>
      <color rgb="FF1F4FB4"/>
      <sz val="9"/>
    </font>
    <font>
      <name val="Arial"/>
      <charset val="1"/>
      <family val="0"/>
      <color rgb="FF007A33"/>
      <sz val="9"/>
    </font>
    <font>
      <name val="Arial"/>
      <charset val="1"/>
      <family val="0"/>
      <color rgb="FF007A33"/>
      <sz val="11"/>
    </font>
    <font>
      <name val="Arial"/>
      <charset val="1"/>
      <family val="0"/>
      <b val="1"/>
      <color rgb="FF808080"/>
      <sz val="8"/>
    </font>
    <font>
      <name val="Arial"/>
      <charset val="1"/>
      <family val="0"/>
      <b val="1"/>
      <color rgb="FF1A1216"/>
      <sz val="9"/>
    </font>
    <font>
      <name val="Arial"/>
      <charset val="1"/>
      <family val="0"/>
      <b val="1"/>
      <color rgb="FFFFFFFF"/>
      <sz val="9"/>
    </font>
    <font>
      <name val="Arial"/>
      <charset val="1"/>
      <family val="0"/>
      <b val="1"/>
      <color rgb="FFF7F0EA"/>
      <sz val="9"/>
    </font>
    <font>
      <name val="Calibri"/>
      <family val="2"/>
      <b val="1"/>
      <color rgb="FF000000"/>
      <sz val="18"/>
    </font>
    <font>
      <name val="Calibri"/>
      <family val="2"/>
      <color rgb="FF000000"/>
      <sz val="10"/>
    </font>
    <font>
      <name val="Calibri"/>
      <family val="2"/>
      <b val="1"/>
      <color rgb="FF000000"/>
      <sz val="10"/>
    </font>
    <font>
      <name val="Arial"/>
      <charset val="1"/>
      <family val="0"/>
      <b val="1"/>
      <color rgb="FF1A1216"/>
      <sz val="11"/>
    </font>
    <font>
      <name val="Arial"/>
      <charset val="1"/>
      <family val="0"/>
      <color rgb="FF0563C1"/>
      <sz val="9"/>
      <u val="single"/>
    </font>
  </fonts>
  <fills count="8">
    <fill>
      <patternFill/>
    </fill>
    <fill>
      <patternFill patternType="gray125"/>
    </fill>
    <fill>
      <patternFill patternType="solid">
        <fgColor rgb="FF5A1638"/>
        <bgColor rgb="FF333333"/>
      </patternFill>
    </fill>
    <fill>
      <patternFill patternType="solid">
        <fgColor rgb="FFF6E1DB"/>
        <bgColor rgb="FFF7F0EA"/>
      </patternFill>
    </fill>
    <fill>
      <patternFill patternType="solid">
        <fgColor rgb="FFF7F0EA"/>
        <bgColor rgb="FFF3F0EE"/>
      </patternFill>
    </fill>
    <fill>
      <patternFill patternType="solid">
        <fgColor rgb="FFF3F0EE"/>
        <bgColor rgb="FFF7F0EA"/>
      </patternFill>
    </fill>
    <fill>
      <patternFill patternType="solid">
        <fgColor rgb="FF9CB65A"/>
        <bgColor rgb="FFBFBFBF"/>
      </patternFill>
    </fill>
    <fill>
      <patternFill patternType="solid">
        <fgColor rgb="FFE3A08F"/>
        <bgColor rgb="FFFF8080"/>
      </patternFill>
    </fill>
  </fills>
  <borders count="8">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bottom style="thin">
        <color rgb="FF5A1638"/>
      </bottom>
      <diagonal/>
    </border>
    <border>
      <left/>
      <right/>
      <top style="thin">
        <color rgb="FFBFBFBF"/>
      </top>
      <bottom/>
      <diagonal/>
    </border>
    <border>
      <left/>
      <right/>
      <top style="thin">
        <color rgb="FFBFBFBF"/>
      </top>
      <bottom style="thin">
        <color rgb="FFBFBFBF"/>
      </bottom>
      <diagonal/>
    </border>
    <border>
      <left/>
      <right style="thin">
        <color rgb="FFBFBFBF"/>
      </right>
      <top style="thin">
        <color rgb="FFBFBFBF"/>
      </top>
      <bottom/>
      <diagonal/>
    </border>
    <border>
      <left/>
      <right style="thin">
        <color rgb="FFBFBFBF"/>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69">
    <xf numFmtId="0" fontId="0" fillId="0" borderId="0" applyAlignment="1" pivotButton="0" quotePrefix="0" xfId="0">
      <alignment horizontal="general" vertical="bottom"/>
    </xf>
    <xf numFmtId="0" fontId="4" fillId="2" borderId="0" applyAlignment="1" pivotButton="0" quotePrefix="0" xfId="0">
      <alignment horizontal="general" vertical="center" indent="1"/>
    </xf>
    <xf numFmtId="0" fontId="5" fillId="0" borderId="0" applyAlignment="1" pivotButton="0" quotePrefix="0" xfId="0">
      <alignment horizontal="general" vertical="bottom"/>
    </xf>
    <xf numFmtId="0" fontId="6" fillId="2" borderId="0" applyAlignment="1" pivotButton="0" quotePrefix="0" xfId="0">
      <alignment horizontal="general" vertical="bottom"/>
    </xf>
    <xf numFmtId="0" fontId="7" fillId="2" borderId="0" applyAlignment="1" pivotButton="0" quotePrefix="0" xfId="0">
      <alignment horizontal="general" vertical="bottom"/>
    </xf>
    <xf numFmtId="0" fontId="8" fillId="3" borderId="0" applyAlignment="1" pivotButton="0" quotePrefix="0" xfId="0">
      <alignment horizontal="general" vertical="bottom"/>
    </xf>
    <xf numFmtId="0" fontId="9" fillId="0" borderId="0" applyAlignment="1" pivotButton="0" quotePrefix="0" xfId="0">
      <alignment horizontal="general" vertical="top" wrapText="1"/>
    </xf>
    <xf numFmtId="0" fontId="10" fillId="4" borderId="0" applyAlignment="1" pivotButton="0" quotePrefix="0" xfId="0">
      <alignment horizontal="general" vertical="bottom"/>
    </xf>
    <xf numFmtId="0" fontId="11" fillId="5" borderId="0" applyAlignment="1" pivotButton="0" quotePrefix="0" xfId="0">
      <alignment horizontal="general" vertical="bottom"/>
    </xf>
    <xf numFmtId="0" fontId="12" fillId="5" borderId="0" applyAlignment="1" pivotButton="0" quotePrefix="0" xfId="0">
      <alignment horizontal="general" vertical="bottom"/>
    </xf>
    <xf numFmtId="0" fontId="13" fillId="2" borderId="0" applyAlignment="1" pivotButton="0" quotePrefix="0" xfId="0">
      <alignment horizontal="general" vertical="bottom"/>
    </xf>
    <xf numFmtId="0" fontId="11" fillId="0" borderId="0" applyAlignment="1" pivotButton="0" quotePrefix="0" xfId="0">
      <alignment horizontal="general" vertical="bottom"/>
    </xf>
    <xf numFmtId="0" fontId="14" fillId="0" borderId="0" applyAlignment="1" pivotButton="0" quotePrefix="0" xfId="0">
      <alignment horizontal="general" vertical="top" wrapText="1"/>
    </xf>
    <xf numFmtId="0" fontId="11" fillId="3" borderId="0" applyAlignment="1" pivotButton="0" quotePrefix="0" xfId="0">
      <alignment horizontal="general" vertical="top" wrapText="1"/>
    </xf>
    <xf numFmtId="0" fontId="9" fillId="0" borderId="0" applyAlignment="1" pivotButton="0" quotePrefix="0" xfId="0">
      <alignment horizontal="general" vertical="bottom"/>
    </xf>
    <xf numFmtId="0" fontId="15" fillId="0" borderId="0" applyAlignment="1" pivotButton="0" quotePrefix="0" xfId="0">
      <alignment horizontal="general" vertical="top" wrapText="1"/>
    </xf>
    <xf numFmtId="0" fontId="16" fillId="2" borderId="0" applyAlignment="1" pivotButton="0" quotePrefix="0" xfId="0">
      <alignment horizontal="general" vertical="center" indent="1"/>
    </xf>
    <xf numFmtId="0" fontId="17" fillId="0" borderId="0" applyAlignment="1" pivotButton="0" quotePrefix="0" xfId="0">
      <alignment horizontal="general" vertical="bottom"/>
    </xf>
    <xf numFmtId="0" fontId="13" fillId="2" borderId="1" applyAlignment="1" pivotButton="0" quotePrefix="0" xfId="0">
      <alignment horizontal="center" vertical="center" wrapText="1"/>
    </xf>
    <xf numFmtId="0" fontId="11" fillId="0" borderId="0" applyAlignment="1" pivotButton="0" quotePrefix="0" xfId="0">
      <alignment horizontal="general" vertical="top" wrapText="1"/>
    </xf>
    <xf numFmtId="0" fontId="8" fillId="3" borderId="1" applyAlignment="1" pivotButton="0" quotePrefix="0" xfId="0">
      <alignment horizontal="general" vertical="bottom"/>
    </xf>
    <xf numFmtId="0" fontId="10" fillId="4" borderId="1" applyAlignment="1" pivotButton="0" quotePrefix="0" xfId="0">
      <alignment horizontal="general" vertical="bottom"/>
    </xf>
    <xf numFmtId="0" fontId="11" fillId="5" borderId="2" applyAlignment="1" pivotButton="0" quotePrefix="0" xfId="0">
      <alignment horizontal="general" vertical="bottom"/>
    </xf>
    <xf numFmtId="0" fontId="12" fillId="5" borderId="1" applyAlignment="1" pivotButton="0" quotePrefix="0" xfId="0">
      <alignment horizontal="general" vertical="bottom"/>
    </xf>
    <xf numFmtId="0" fontId="18" fillId="0" borderId="0" applyAlignment="1" pivotButton="0" quotePrefix="0" xfId="0">
      <alignment horizontal="general" vertical="bottom"/>
    </xf>
    <xf numFmtId="164" fontId="9" fillId="5" borderId="1" applyAlignment="1" pivotButton="0" quotePrefix="0" xfId="0">
      <alignment horizontal="general" vertical="bottom"/>
    </xf>
    <xf numFmtId="165" fontId="19" fillId="3" borderId="1" applyAlignment="1" applyProtection="1" pivotButton="0" quotePrefix="0" xfId="0">
      <alignment horizontal="general" vertical="bottom"/>
      <protection locked="0" hidden="0"/>
    </xf>
    <xf numFmtId="4" fontId="9" fillId="5" borderId="1" applyAlignment="1" pivotButton="0" quotePrefix="0" xfId="0">
      <alignment horizontal="general" vertical="bottom"/>
    </xf>
    <xf numFmtId="0" fontId="13" fillId="2" borderId="1" applyAlignment="1" pivotButton="0" quotePrefix="0" xfId="0">
      <alignment horizontal="general" vertical="bottom"/>
    </xf>
    <xf numFmtId="0" fontId="10" fillId="0" borderId="3" applyAlignment="1" pivotButton="0" quotePrefix="0" xfId="0">
      <alignment horizontal="general" vertical="bottom"/>
    </xf>
    <xf numFmtId="0" fontId="0" fillId="0" borderId="3" applyAlignment="1" pivotButton="0" quotePrefix="0" xfId="0">
      <alignment horizontal="general" vertical="bottom"/>
    </xf>
    <xf numFmtId="0" fontId="20" fillId="0" borderId="0" applyAlignment="1" pivotButton="0" quotePrefix="0" xfId="0">
      <alignment horizontal="general" vertical="bottom"/>
    </xf>
    <xf numFmtId="0" fontId="19" fillId="3" borderId="1" applyAlignment="1" applyProtection="1" pivotButton="0" quotePrefix="0" xfId="0">
      <alignment horizontal="general" vertical="bottom"/>
      <protection locked="0" hidden="0"/>
    </xf>
    <xf numFmtId="0" fontId="18" fillId="0" borderId="0" applyAlignment="1" pivotButton="0" quotePrefix="0" xfId="0">
      <alignment horizontal="general" vertical="bottom"/>
    </xf>
    <xf numFmtId="0" fontId="18" fillId="0" borderId="0" applyAlignment="1" pivotButton="0" quotePrefix="0" xfId="0">
      <alignment horizontal="general" vertical="top" wrapText="1"/>
    </xf>
    <xf numFmtId="0" fontId="14" fillId="0" borderId="0" applyAlignment="1" pivotButton="0" quotePrefix="0" xfId="0">
      <alignment horizontal="general" vertical="top" wrapText="1"/>
    </xf>
    <xf numFmtId="3" fontId="9" fillId="5" borderId="1" applyAlignment="1" pivotButton="0" quotePrefix="0" xfId="0">
      <alignment horizontal="general" vertical="bottom"/>
    </xf>
    <xf numFmtId="166" fontId="9" fillId="5" borderId="1" applyAlignment="1" pivotButton="0" quotePrefix="0" xfId="0">
      <alignment horizontal="general" vertical="bottom"/>
    </xf>
    <xf numFmtId="167" fontId="9" fillId="5" borderId="1" applyAlignment="1" pivotButton="0" quotePrefix="0" xfId="0">
      <alignment horizontal="general" vertical="bottom"/>
    </xf>
    <xf numFmtId="4" fontId="19" fillId="3" borderId="1" applyAlignment="1" applyProtection="1" pivotButton="0" quotePrefix="0" xfId="0">
      <alignment horizontal="general" vertical="bottom"/>
      <protection locked="0" hidden="0"/>
    </xf>
    <xf numFmtId="3" fontId="19" fillId="3" borderId="1" applyAlignment="1" applyProtection="1" pivotButton="0" quotePrefix="0" xfId="0">
      <alignment horizontal="general" vertical="bottom"/>
      <protection locked="0" hidden="0"/>
    </xf>
    <xf numFmtId="164" fontId="19" fillId="3" borderId="1" applyAlignment="1" applyProtection="1" pivotButton="0" quotePrefix="0" xfId="0">
      <alignment horizontal="general" vertical="bottom"/>
      <protection locked="0" hidden="0"/>
    </xf>
    <xf numFmtId="167" fontId="19" fillId="3" borderId="1" applyAlignment="1" applyProtection="1" pivotButton="0" quotePrefix="0" xfId="0">
      <alignment horizontal="general" vertical="bottom"/>
      <protection locked="0" hidden="0"/>
    </xf>
    <xf numFmtId="4" fontId="10" fillId="4" borderId="1" applyAlignment="1" pivotButton="0" quotePrefix="0" xfId="0">
      <alignment horizontal="general" vertical="bottom"/>
    </xf>
    <xf numFmtId="3" fontId="10" fillId="4" borderId="1" applyAlignment="1" pivotButton="0" quotePrefix="0" xfId="0">
      <alignment horizontal="general" vertical="bottom"/>
    </xf>
    <xf numFmtId="0" fontId="18" fillId="0" borderId="1" applyAlignment="1" pivotButton="0" quotePrefix="0" xfId="0">
      <alignment horizontal="general" vertical="bottom"/>
    </xf>
    <xf numFmtId="0" fontId="18" fillId="0" borderId="1" applyAlignment="1" pivotButton="0" quotePrefix="0" xfId="0">
      <alignment horizontal="general" vertical="top"/>
    </xf>
    <xf numFmtId="0" fontId="21" fillId="3" borderId="1" applyAlignment="1" applyProtection="1" pivotButton="0" quotePrefix="0" xfId="0">
      <alignment horizontal="general" vertical="bottom"/>
      <protection locked="0" hidden="0"/>
    </xf>
    <xf numFmtId="0" fontId="22" fillId="3" borderId="1" applyAlignment="1" applyProtection="1" pivotButton="0" quotePrefix="0" xfId="0">
      <alignment horizontal="general" vertical="bottom"/>
      <protection locked="0" hidden="0"/>
    </xf>
    <xf numFmtId="168" fontId="22" fillId="3" borderId="1" applyAlignment="1" applyProtection="1" pivotButton="0" quotePrefix="0" xfId="0">
      <alignment horizontal="general" vertical="bottom"/>
      <protection locked="0" hidden="0"/>
    </xf>
    <xf numFmtId="165" fontId="9" fillId="5" borderId="1" applyAlignment="1" pivotButton="0" quotePrefix="0" xfId="0">
      <alignment horizontal="general" vertical="bottom"/>
    </xf>
    <xf numFmtId="168" fontId="9" fillId="5" borderId="1" applyAlignment="1" pivotButton="0" quotePrefix="0" xfId="0">
      <alignment horizontal="general" vertical="bottom"/>
    </xf>
    <xf numFmtId="168" fontId="19" fillId="3" borderId="1" applyAlignment="1" applyProtection="1" pivotButton="0" quotePrefix="0" xfId="0">
      <alignment horizontal="general" vertical="bottom"/>
      <protection locked="0" hidden="0"/>
    </xf>
    <xf numFmtId="168" fontId="11" fillId="5" borderId="1" applyAlignment="1" pivotButton="0" quotePrefix="0" xfId="0">
      <alignment horizontal="general" vertical="bottom"/>
    </xf>
    <xf numFmtId="166" fontId="19" fillId="3" borderId="1" applyAlignment="1" applyProtection="1" pivotButton="0" quotePrefix="0" xfId="0">
      <alignment horizontal="general" vertical="bottom"/>
      <protection locked="0" hidden="0"/>
    </xf>
    <xf numFmtId="0" fontId="9" fillId="5" borderId="1" applyAlignment="1" pivotButton="0" quotePrefix="0" xfId="0">
      <alignment horizontal="general" vertical="bottom"/>
    </xf>
    <xf numFmtId="165" fontId="11" fillId="5" borderId="1" applyAlignment="1" pivotButton="0" quotePrefix="0" xfId="0">
      <alignment horizontal="general" vertical="bottom"/>
    </xf>
    <xf numFmtId="168" fontId="23" fillId="3" borderId="1" applyAlignment="1" applyProtection="1" pivotButton="0" quotePrefix="0" xfId="0">
      <alignment horizontal="general" vertical="bottom"/>
      <protection locked="0" hidden="0"/>
    </xf>
    <xf numFmtId="0" fontId="15" fillId="5" borderId="1" applyAlignment="1" pivotButton="0" quotePrefix="0" xfId="0">
      <alignment horizontal="general" vertical="bottom"/>
    </xf>
    <xf numFmtId="4" fontId="15" fillId="5" borderId="1" applyAlignment="1" pivotButton="0" quotePrefix="0" xfId="0">
      <alignment horizontal="general" vertical="bottom"/>
    </xf>
    <xf numFmtId="166" fontId="15" fillId="5" borderId="1" applyAlignment="1" pivotButton="0" quotePrefix="0" xfId="0">
      <alignment horizontal="general" vertical="bottom"/>
    </xf>
    <xf numFmtId="164" fontId="15" fillId="5" borderId="1" applyAlignment="1" pivotButton="0" quotePrefix="0" xfId="0">
      <alignment horizontal="general" vertical="bottom"/>
    </xf>
    <xf numFmtId="167" fontId="15" fillId="5" borderId="1" applyAlignment="1" pivotButton="0" quotePrefix="0" xfId="0">
      <alignment horizontal="general" vertical="bottom"/>
    </xf>
    <xf numFmtId="0" fontId="19" fillId="3" borderId="1" applyAlignment="1" applyProtection="1" pivotButton="0" quotePrefix="0" xfId="0">
      <alignment horizontal="general" vertical="top" wrapText="1"/>
      <protection locked="0" hidden="0"/>
    </xf>
    <xf numFmtId="0" fontId="19" fillId="3" borderId="1" applyAlignment="1" applyProtection="1" pivotButton="0" quotePrefix="0" xfId="0">
      <alignment horizontal="center" vertical="center" wrapText="1"/>
      <protection locked="0" hidden="0"/>
    </xf>
    <xf numFmtId="164" fontId="11" fillId="5" borderId="1" applyAlignment="1" pivotButton="0" quotePrefix="0" xfId="0">
      <alignment horizontal="general" vertical="bottom"/>
    </xf>
    <xf numFmtId="0" fontId="11" fillId="5" borderId="1" applyAlignment="1" pivotButton="0" quotePrefix="0" xfId="0">
      <alignment horizontal="general" vertical="bottom"/>
    </xf>
    <xf numFmtId="166" fontId="11" fillId="5" borderId="1" applyAlignment="1" pivotButton="0" quotePrefix="0" xfId="0">
      <alignment horizontal="general" vertical="bottom"/>
    </xf>
    <xf numFmtId="169" fontId="9" fillId="5" borderId="1" applyAlignment="1" pivotButton="0" quotePrefix="0" xfId="0">
      <alignment horizontal="general" vertical="bottom"/>
    </xf>
    <xf numFmtId="0" fontId="9" fillId="5" borderId="1" applyAlignment="1" pivotButton="0" quotePrefix="0" xfId="0">
      <alignment horizontal="general" vertical="top" wrapText="1"/>
    </xf>
    <xf numFmtId="165" fontId="23" fillId="3" borderId="1" applyAlignment="1" applyProtection="1" pivotButton="0" quotePrefix="0" xfId="0">
      <alignment horizontal="general" vertical="bottom"/>
      <protection locked="0" hidden="0"/>
    </xf>
    <xf numFmtId="164" fontId="23" fillId="3" borderId="1" applyAlignment="1" applyProtection="1" pivotButton="0" quotePrefix="0" xfId="0">
      <alignment horizontal="general" vertical="bottom"/>
      <protection locked="0" hidden="0"/>
    </xf>
    <xf numFmtId="166" fontId="23" fillId="3" borderId="1" applyAlignment="1" applyProtection="1" pivotButton="0" quotePrefix="0" xfId="0">
      <alignment horizontal="general" vertical="bottom"/>
      <protection locked="0" hidden="0"/>
    </xf>
    <xf numFmtId="3" fontId="23" fillId="3" borderId="1" applyAlignment="1" applyProtection="1" pivotButton="0" quotePrefix="0" xfId="0">
      <alignment horizontal="general" vertical="bottom"/>
      <protection locked="0" hidden="0"/>
    </xf>
    <xf numFmtId="0" fontId="24" fillId="0" borderId="0" applyAlignment="1" pivotButton="0" quotePrefix="0" xfId="0">
      <alignment horizontal="general" vertical="bottom"/>
    </xf>
    <xf numFmtId="0" fontId="11" fillId="0" borderId="0" applyAlignment="1" pivotButton="0" quotePrefix="0" xfId="0">
      <alignment horizontal="center" vertical="center" wrapText="1"/>
    </xf>
    <xf numFmtId="3" fontId="19" fillId="3" borderId="1" applyAlignment="1" applyProtection="1" pivotButton="0" quotePrefix="0" xfId="0">
      <alignment horizontal="center" vertical="center" wrapText="1"/>
      <protection locked="0" hidden="0"/>
    </xf>
    <xf numFmtId="0" fontId="9" fillId="5" borderId="1" applyAlignment="1" pivotButton="0" quotePrefix="0" xfId="0">
      <alignment horizontal="center" vertical="center" wrapText="1"/>
    </xf>
    <xf numFmtId="2" fontId="9" fillId="5" borderId="1" applyAlignment="1" pivotButton="0" quotePrefix="0" xfId="0">
      <alignment horizontal="general" vertical="bottom"/>
    </xf>
    <xf numFmtId="0" fontId="11" fillId="0" borderId="0" applyAlignment="1" pivotButton="0" quotePrefix="0" xfId="0">
      <alignment horizontal="general" vertical="top" wrapText="1"/>
    </xf>
    <xf numFmtId="3" fontId="11" fillId="5" borderId="1" applyAlignment="1" pivotButton="0" quotePrefix="0" xfId="0">
      <alignment horizontal="general" vertical="bottom"/>
    </xf>
    <xf numFmtId="0" fontId="11" fillId="5" borderId="1" applyAlignment="1" pivotButton="0" quotePrefix="0" xfId="0">
      <alignment horizontal="general" vertical="top" wrapText="1"/>
    </xf>
    <xf numFmtId="3" fontId="9" fillId="5" borderId="1" applyAlignment="1" pivotButton="0" quotePrefix="0" xfId="0">
      <alignment horizontal="center" vertical="center" wrapText="1"/>
    </xf>
    <xf numFmtId="0" fontId="18" fillId="0" borderId="1" applyAlignment="1" pivotButton="0" quotePrefix="0" xfId="0">
      <alignment horizontal="general" vertical="top" wrapText="1"/>
    </xf>
    <xf numFmtId="0" fontId="25" fillId="6" borderId="1" applyAlignment="1" pivotButton="0" quotePrefix="0" xfId="0">
      <alignment horizontal="general" vertical="bottom"/>
    </xf>
    <xf numFmtId="0" fontId="25" fillId="3" borderId="1" applyAlignment="1" pivotButton="0" quotePrefix="0" xfId="0">
      <alignment horizontal="general" vertical="bottom"/>
    </xf>
    <xf numFmtId="0" fontId="25" fillId="7" borderId="1" applyAlignment="1" pivotButton="0" quotePrefix="0" xfId="0">
      <alignment horizontal="general" vertical="bottom"/>
    </xf>
    <xf numFmtId="0" fontId="26" fillId="2" borderId="1" applyAlignment="1" pivotButton="0" quotePrefix="0" xfId="0">
      <alignment horizontal="general" vertical="bottom"/>
    </xf>
    <xf numFmtId="0" fontId="18" fillId="0" borderId="0" applyAlignment="1" pivotButton="0" quotePrefix="0" xfId="0">
      <alignment horizontal="center" vertical="center" wrapText="1"/>
    </xf>
    <xf numFmtId="0" fontId="9" fillId="0" borderId="0" applyAlignment="1" pivotButton="0" quotePrefix="0" xfId="0">
      <alignment horizontal="general" vertical="bottom"/>
    </xf>
    <xf numFmtId="0" fontId="25" fillId="0" borderId="1" applyAlignment="1" pivotButton="0" quotePrefix="0" xfId="0">
      <alignment horizontal="general" vertical="top" wrapText="1"/>
    </xf>
    <xf numFmtId="170" fontId="19" fillId="3" borderId="1" applyAlignment="1" applyProtection="1" pivotButton="0" quotePrefix="0" xfId="0">
      <alignment horizontal="general" vertical="bottom"/>
      <protection locked="0" hidden="0"/>
    </xf>
    <xf numFmtId="4" fontId="11" fillId="5" borderId="1" applyAlignment="1" pivotButton="0" quotePrefix="0" xfId="0">
      <alignment horizontal="general" vertical="bottom"/>
    </xf>
    <xf numFmtId="0" fontId="27" fillId="2" borderId="0" applyAlignment="1" pivotButton="0" quotePrefix="0" xfId="0">
      <alignment horizontal="general" vertical="bottom"/>
    </xf>
    <xf numFmtId="2" fontId="19" fillId="3" borderId="1" applyAlignment="1" applyProtection="1" pivotButton="0" quotePrefix="0" xfId="0">
      <alignment horizontal="general" vertical="bottom"/>
      <protection locked="0" hidden="0"/>
    </xf>
    <xf numFmtId="4" fontId="23" fillId="3" borderId="1" applyAlignment="1" applyProtection="1" pivotButton="0" quotePrefix="0" xfId="0">
      <alignment horizontal="general" vertical="bottom"/>
      <protection locked="0" hidden="0"/>
    </xf>
    <xf numFmtId="0" fontId="27" fillId="2" borderId="1" applyAlignment="1" pivotButton="0" quotePrefix="0" xfId="0">
      <alignment horizontal="center" vertical="center" wrapText="1"/>
    </xf>
    <xf numFmtId="4" fontId="0" fillId="0" borderId="0" applyAlignment="1" pivotButton="0" quotePrefix="0" xfId="0">
      <alignment horizontal="general" vertical="bottom"/>
    </xf>
    <xf numFmtId="164" fontId="0" fillId="0" borderId="0" applyAlignment="1" pivotButton="0" quotePrefix="0" xfId="0">
      <alignment horizontal="general" vertical="bottom"/>
    </xf>
    <xf numFmtId="3" fontId="0" fillId="0" borderId="0" applyAlignment="1" pivotButton="0" quotePrefix="0" xfId="0">
      <alignment horizontal="general" vertical="bottom"/>
    </xf>
    <xf numFmtId="171" fontId="0" fillId="0" borderId="0" applyAlignment="1" pivotButton="0" quotePrefix="0" xfId="0">
      <alignment horizontal="general" vertical="bottom"/>
    </xf>
    <xf numFmtId="0" fontId="31" fillId="6" borderId="0" applyAlignment="1" pivotButton="0" quotePrefix="0" xfId="0">
      <alignment horizontal="center" vertical="center"/>
    </xf>
    <xf numFmtId="0" fontId="11" fillId="0" borderId="0" applyAlignment="1" pivotButton="0" quotePrefix="0" xfId="0">
      <alignment horizontal="general" vertical="bottom"/>
    </xf>
    <xf numFmtId="0" fontId="9" fillId="0" borderId="0" applyAlignment="1" pivotButton="0" quotePrefix="0" xfId="0">
      <alignment horizontal="general" vertical="top" wrapText="1"/>
    </xf>
    <xf numFmtId="0" fontId="32" fillId="0" borderId="1"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2" borderId="0" applyAlignment="1" pivotButton="0" quotePrefix="0" xfId="0">
      <alignment horizontal="general" vertical="center" indent="1"/>
    </xf>
    <xf numFmtId="0" fontId="5" fillId="0" borderId="0" applyAlignment="1" pivotButton="0" quotePrefix="0" xfId="0">
      <alignment horizontal="general" vertical="bottom"/>
    </xf>
    <xf numFmtId="0" fontId="6" fillId="2" borderId="0" applyAlignment="1" pivotButton="0" quotePrefix="0" xfId="0">
      <alignment horizontal="general" vertical="bottom"/>
    </xf>
    <xf numFmtId="0" fontId="7" fillId="2" borderId="0" applyAlignment="1" pivotButton="0" quotePrefix="0" xfId="0">
      <alignment horizontal="general" vertical="bottom"/>
    </xf>
    <xf numFmtId="0" fontId="8" fillId="3" borderId="0" applyAlignment="1" pivotButton="0" quotePrefix="0" xfId="0">
      <alignment horizontal="general" vertical="bottom"/>
    </xf>
    <xf numFmtId="0" fontId="9" fillId="0" borderId="0" applyAlignment="1" pivotButton="0" quotePrefix="0" xfId="0">
      <alignment horizontal="general" vertical="top" wrapText="1"/>
    </xf>
    <xf numFmtId="0" fontId="10" fillId="4" borderId="0" applyAlignment="1" pivotButton="0" quotePrefix="0" xfId="0">
      <alignment horizontal="general" vertical="bottom"/>
    </xf>
    <xf numFmtId="0" fontId="11" fillId="5" borderId="0" applyAlignment="1" pivotButton="0" quotePrefix="0" xfId="0">
      <alignment horizontal="general" vertical="bottom"/>
    </xf>
    <xf numFmtId="0" fontId="12" fillId="5" borderId="0" applyAlignment="1" pivotButton="0" quotePrefix="0" xfId="0">
      <alignment horizontal="general" vertical="bottom"/>
    </xf>
    <xf numFmtId="0" fontId="13" fillId="2" borderId="0" applyAlignment="1" pivotButton="0" quotePrefix="0" xfId="0">
      <alignment horizontal="general" vertical="bottom"/>
    </xf>
    <xf numFmtId="0" fontId="11" fillId="0" borderId="0" applyAlignment="1" pivotButton="0" quotePrefix="0" xfId="0">
      <alignment horizontal="general" vertical="bottom"/>
    </xf>
    <xf numFmtId="0" fontId="14" fillId="0" borderId="0" applyAlignment="1" pivotButton="0" quotePrefix="0" xfId="0">
      <alignment horizontal="general" vertical="top" wrapText="1"/>
    </xf>
    <xf numFmtId="0" fontId="11" fillId="3" borderId="0" applyAlignment="1" pivotButton="0" quotePrefix="0" xfId="0">
      <alignment horizontal="general" vertical="top" wrapText="1"/>
    </xf>
    <xf numFmtId="0" fontId="9" fillId="0" borderId="0" applyAlignment="1" pivotButton="0" quotePrefix="0" xfId="0">
      <alignment horizontal="general" vertical="bottom"/>
    </xf>
    <xf numFmtId="0" fontId="15" fillId="0" borderId="0" applyAlignment="1" pivotButton="0" quotePrefix="0" xfId="0">
      <alignment horizontal="general" vertical="top" wrapText="1"/>
    </xf>
    <xf numFmtId="0" fontId="16" fillId="2" borderId="0" applyAlignment="1" pivotButton="0" quotePrefix="0" xfId="0">
      <alignment horizontal="general" vertical="center" indent="1"/>
    </xf>
    <xf numFmtId="0" fontId="17" fillId="0" borderId="0" applyAlignment="1" pivotButton="0" quotePrefix="0" xfId="0">
      <alignment horizontal="general" vertical="bottom"/>
    </xf>
    <xf numFmtId="0" fontId="13" fillId="2" borderId="1" applyAlignment="1" pivotButton="0" quotePrefix="0" xfId="0">
      <alignment horizontal="center" vertical="center" wrapText="1"/>
    </xf>
    <xf numFmtId="0" fontId="11" fillId="0" borderId="0" applyAlignment="1" pivotButton="0" quotePrefix="0" xfId="0">
      <alignment horizontal="general" vertical="top" wrapText="1"/>
    </xf>
    <xf numFmtId="0" fontId="8" fillId="3" borderId="1" applyAlignment="1" pivotButton="0" quotePrefix="0" xfId="0">
      <alignment horizontal="general" vertical="bottom"/>
    </xf>
    <xf numFmtId="0" fontId="10" fillId="4" borderId="1" applyAlignment="1" pivotButton="0" quotePrefix="0" xfId="0">
      <alignment horizontal="general" vertical="bottom"/>
    </xf>
    <xf numFmtId="0" fontId="11" fillId="5" borderId="2" applyAlignment="1" pivotButton="0" quotePrefix="0" xfId="0">
      <alignment horizontal="general" vertical="bottom"/>
    </xf>
    <xf numFmtId="0" fontId="0" fillId="0" borderId="5" pivotButton="0" quotePrefix="0" xfId="0"/>
    <xf numFmtId="0" fontId="12" fillId="5" borderId="1" applyAlignment="1" pivotButton="0" quotePrefix="0" xfId="0">
      <alignment horizontal="general" vertical="bottom"/>
    </xf>
    <xf numFmtId="0" fontId="18" fillId="0" borderId="0" applyAlignment="1" pivotButton="0" quotePrefix="0" xfId="0">
      <alignment horizontal="general" vertical="bottom"/>
    </xf>
    <xf numFmtId="164" fontId="9" fillId="5" borderId="1" applyAlignment="1" pivotButton="0" quotePrefix="0" xfId="0">
      <alignment horizontal="general" vertical="bottom"/>
    </xf>
    <xf numFmtId="165" fontId="19" fillId="3" borderId="1" applyAlignment="1" applyProtection="1" pivotButton="0" quotePrefix="0" xfId="0">
      <alignment horizontal="general" vertical="bottom"/>
      <protection locked="0" hidden="0"/>
    </xf>
    <xf numFmtId="4" fontId="9" fillId="5" borderId="1" applyAlignment="1" pivotButton="0" quotePrefix="0" xfId="0">
      <alignment horizontal="general" vertical="bottom"/>
    </xf>
    <xf numFmtId="0" fontId="13" fillId="2" borderId="1" applyAlignment="1" pivotButton="0" quotePrefix="0" xfId="0">
      <alignment horizontal="general" vertical="bottom"/>
    </xf>
    <xf numFmtId="0" fontId="0" fillId="0" borderId="7" pivotButton="0" quotePrefix="0" xfId="0"/>
    <xf numFmtId="0" fontId="10" fillId="0" borderId="3" applyAlignment="1" pivotButton="0" quotePrefix="0" xfId="0">
      <alignment horizontal="general" vertical="bottom"/>
    </xf>
    <xf numFmtId="0" fontId="0" fillId="0" borderId="3" applyAlignment="1" pivotButton="0" quotePrefix="0" xfId="0">
      <alignment horizontal="general" vertical="bottom"/>
    </xf>
    <xf numFmtId="0" fontId="20" fillId="0" borderId="0" applyAlignment="1" pivotButton="0" quotePrefix="0" xfId="0">
      <alignment horizontal="general" vertical="bottom"/>
    </xf>
    <xf numFmtId="0" fontId="19" fillId="3" borderId="1" applyAlignment="1" applyProtection="1" pivotButton="0" quotePrefix="0" xfId="0">
      <alignment horizontal="general" vertical="bottom"/>
      <protection locked="0" hidden="0"/>
    </xf>
    <xf numFmtId="0" fontId="18" fillId="0" borderId="0" applyAlignment="1" pivotButton="0" quotePrefix="0" xfId="0">
      <alignment horizontal="general" vertical="top" wrapText="1"/>
    </xf>
    <xf numFmtId="3" fontId="9" fillId="5" borderId="1" applyAlignment="1" pivotButton="0" quotePrefix="0" xfId="0">
      <alignment horizontal="general" vertical="bottom"/>
    </xf>
    <xf numFmtId="166" fontId="9" fillId="5" borderId="1" applyAlignment="1" pivotButton="0" quotePrefix="0" xfId="0">
      <alignment horizontal="general" vertical="bottom"/>
    </xf>
    <xf numFmtId="167" fontId="9" fillId="5" borderId="1" applyAlignment="1" pivotButton="0" quotePrefix="0" xfId="0">
      <alignment horizontal="general" vertical="bottom"/>
    </xf>
    <xf numFmtId="4" fontId="19" fillId="3" borderId="1" applyAlignment="1" applyProtection="1" pivotButton="0" quotePrefix="0" xfId="0">
      <alignment horizontal="general" vertical="bottom"/>
      <protection locked="0" hidden="0"/>
    </xf>
    <xf numFmtId="3" fontId="19" fillId="3" borderId="1" applyAlignment="1" applyProtection="1" pivotButton="0" quotePrefix="0" xfId="0">
      <alignment horizontal="general" vertical="bottom"/>
      <protection locked="0" hidden="0"/>
    </xf>
    <xf numFmtId="164" fontId="19" fillId="3" borderId="1" applyAlignment="1" applyProtection="1" pivotButton="0" quotePrefix="0" xfId="0">
      <alignment horizontal="general" vertical="bottom"/>
      <protection locked="0" hidden="0"/>
    </xf>
    <xf numFmtId="167" fontId="19" fillId="3" borderId="1" applyAlignment="1" applyProtection="1" pivotButton="0" quotePrefix="0" xfId="0">
      <alignment horizontal="general" vertical="bottom"/>
      <protection locked="0" hidden="0"/>
    </xf>
    <xf numFmtId="4" fontId="10" fillId="4" borderId="1" applyAlignment="1" pivotButton="0" quotePrefix="0" xfId="0">
      <alignment horizontal="general" vertical="bottom"/>
    </xf>
    <xf numFmtId="3" fontId="10" fillId="4" borderId="1" applyAlignment="1" pivotButton="0" quotePrefix="0" xfId="0">
      <alignment horizontal="general" vertical="bottom"/>
    </xf>
    <xf numFmtId="0" fontId="18" fillId="0" borderId="1" applyAlignment="1" pivotButton="0" quotePrefix="0" xfId="0">
      <alignment horizontal="general" vertical="bottom"/>
    </xf>
    <xf numFmtId="0" fontId="18" fillId="0" borderId="1" applyAlignment="1" pivotButton="0" quotePrefix="0" xfId="0">
      <alignment horizontal="general" vertical="top"/>
    </xf>
    <xf numFmtId="0" fontId="21" fillId="3" borderId="1" applyAlignment="1" applyProtection="1" pivotButton="0" quotePrefix="0" xfId="0">
      <alignment horizontal="general" vertical="bottom"/>
      <protection locked="0" hidden="0"/>
    </xf>
    <xf numFmtId="0" fontId="22" fillId="3" borderId="1" applyAlignment="1" applyProtection="1" pivotButton="0" quotePrefix="0" xfId="0">
      <alignment horizontal="general" vertical="bottom"/>
      <protection locked="0" hidden="0"/>
    </xf>
    <xf numFmtId="168" fontId="22" fillId="3" borderId="1" applyAlignment="1" applyProtection="1" pivotButton="0" quotePrefix="0" xfId="0">
      <alignment horizontal="general" vertical="bottom"/>
      <protection locked="0" hidden="0"/>
    </xf>
    <xf numFmtId="165" fontId="9" fillId="5" borderId="1" applyAlignment="1" pivotButton="0" quotePrefix="0" xfId="0">
      <alignment horizontal="general" vertical="bottom"/>
    </xf>
    <xf numFmtId="168" fontId="9" fillId="5" borderId="1" applyAlignment="1" pivotButton="0" quotePrefix="0" xfId="0">
      <alignment horizontal="general" vertical="bottom"/>
    </xf>
    <xf numFmtId="168" fontId="19" fillId="3" borderId="1" applyAlignment="1" applyProtection="1" pivotButton="0" quotePrefix="0" xfId="0">
      <alignment horizontal="general" vertical="bottom"/>
      <protection locked="0" hidden="0"/>
    </xf>
    <xf numFmtId="168" fontId="11" fillId="5" borderId="1" applyAlignment="1" pivotButton="0" quotePrefix="0" xfId="0">
      <alignment horizontal="general" vertical="bottom"/>
    </xf>
    <xf numFmtId="166" fontId="19" fillId="3" borderId="1" applyAlignment="1" applyProtection="1" pivotButton="0" quotePrefix="0" xfId="0">
      <alignment horizontal="general" vertical="bottom"/>
      <protection locked="0" hidden="0"/>
    </xf>
    <xf numFmtId="0" fontId="9" fillId="5" borderId="1" applyAlignment="1" pivotButton="0" quotePrefix="0" xfId="0">
      <alignment horizontal="general" vertical="bottom"/>
    </xf>
    <xf numFmtId="165" fontId="11" fillId="5" borderId="1" applyAlignment="1" pivotButton="0" quotePrefix="0" xfId="0">
      <alignment horizontal="general" vertical="bottom"/>
    </xf>
    <xf numFmtId="168" fontId="23" fillId="3" borderId="1" applyAlignment="1" applyProtection="1" pivotButton="0" quotePrefix="0" xfId="0">
      <alignment horizontal="general" vertical="bottom"/>
      <protection locked="0" hidden="0"/>
    </xf>
    <xf numFmtId="0" fontId="15" fillId="5" borderId="1" applyAlignment="1" pivotButton="0" quotePrefix="0" xfId="0">
      <alignment horizontal="general" vertical="bottom"/>
    </xf>
    <xf numFmtId="4" fontId="15" fillId="5" borderId="1" applyAlignment="1" pivotButton="0" quotePrefix="0" xfId="0">
      <alignment horizontal="general" vertical="bottom"/>
    </xf>
    <xf numFmtId="166" fontId="15" fillId="5" borderId="1" applyAlignment="1" pivotButton="0" quotePrefix="0" xfId="0">
      <alignment horizontal="general" vertical="bottom"/>
    </xf>
    <xf numFmtId="164" fontId="15" fillId="5" borderId="1" applyAlignment="1" pivotButton="0" quotePrefix="0" xfId="0">
      <alignment horizontal="general" vertical="bottom"/>
    </xf>
    <xf numFmtId="167" fontId="15" fillId="5" borderId="1"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4">
    <dxf>
      <font>
        <name val="Arial"/>
        <charset val="1"/>
        <family val="0"/>
        <b val="1"/>
        <color rgb="FFFFFFFF"/>
      </font>
      <fill>
        <patternFill>
          <bgColor rgb="FF5A1638"/>
        </patternFill>
      </fill>
    </dxf>
    <dxf>
      <font>
        <name val="Arial"/>
        <charset val="1"/>
        <family val="0"/>
        <b val="1"/>
        <color rgb="FF1A1216"/>
      </font>
      <fill>
        <patternFill>
          <bgColor rgb="FFF6E1DB"/>
        </patternFill>
      </fill>
    </dxf>
    <dxf>
      <font>
        <name val="Arial"/>
        <charset val="1"/>
        <family val="0"/>
        <b val="1"/>
        <color rgb="FF1A1216"/>
      </font>
      <fill>
        <patternFill>
          <bgColor rgb="FF9CB65A"/>
        </patternFill>
      </fill>
    </dxf>
    <dxf>
      <font>
        <name val="Arial"/>
        <charset val="1"/>
        <family val="0"/>
        <b val="1"/>
        <color rgb="FF1A1216"/>
      </font>
      <fill>
        <patternFill>
          <bgColor rgb="FFE3A08F"/>
        </patternFill>
      </fill>
    </dxf>
  </dxfs>
  <colors>
    <indexedColors>
      <rgbColor rgb="FF000000"/>
      <rgbColor rgb="FFFFFFFF"/>
      <rgbColor rgb="FFFF0000"/>
      <rgbColor rgb="FF00FF00"/>
      <rgbColor rgb="FF0000FF"/>
      <rgbColor rgb="FFFFFF00"/>
      <rgbColor rgb="FFFF00FF"/>
      <rgbColor rgb="FF00FFFF"/>
      <rgbColor rgb="FF800000"/>
      <rgbColor rgb="FF007A33"/>
      <rgbColor rgb="FF000080"/>
      <rgbColor rgb="FF808000"/>
      <rgbColor rgb="FF800080"/>
      <rgbColor rgb="FF008080"/>
      <rgbColor rgb="FFBFBFBF"/>
      <rgbColor rgb="FF808080"/>
      <rgbColor rgb="FF9999FF"/>
      <rgbColor rgb="FF993366"/>
      <rgbColor rgb="FFF7F0EA"/>
      <rgbColor rgb="FFF3F0EE"/>
      <rgbColor rgb="FF5A1638"/>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E3A08F"/>
      <rgbColor rgb="FFCC99FF"/>
      <rgbColor rgb="FFF6E1DB"/>
      <rgbColor rgb="FF3366FF"/>
      <rgbColor rgb="FF33CCCC"/>
      <rgbColor rgb="FF9CB65A"/>
      <rgbColor rgb="FFFFCC00"/>
      <rgbColor rgb="FFFF9900"/>
      <rgbColor rgb="FFFF6600"/>
      <rgbColor rgb="FF595959"/>
      <rgbColor rgb="FF878787"/>
      <rgbColor rgb="FF003366"/>
      <rgbColor rgb="FF339966"/>
      <rgbColor rgb="FF003300"/>
      <rgbColor rgb="FF1A1216"/>
      <rgbColor rgb="FF993300"/>
      <rgbColor rgb="FF993366"/>
      <rgbColor rgb="FF1F4FB4"/>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tabColor rgb="FF5A1638"/>
    <outlinePr summaryBelow="1" summaryRight="1"/>
    <pageSetUpPr fitToPage="0"/>
  </sheetPr>
  <dimension ref="A1:C41"/>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30" customWidth="1" style="105" min="1" max="1"/>
    <col width="62" customWidth="1" style="105" min="2" max="2"/>
    <col width="40" customWidth="1" style="105" min="3" max="3"/>
  </cols>
  <sheetData>
    <row r="1" ht="42" customHeight="1" s="106">
      <c r="A1" s="107" t="inlineStr">
        <is>
          <t>Bio-Business Playbook · Herramientas</t>
        </is>
      </c>
    </row>
    <row r="2" ht="15" customHeight="1" s="106">
      <c r="A2" s="108" t="inlineStr">
        <is>
          <t>Bio Business School · Libro de trabajo de las Herramientas 1 a 5</t>
        </is>
      </c>
    </row>
    <row r="4" ht="15" customHeight="1" s="106">
      <c r="A4" s="109" t="inlineStr">
        <is>
          <t>CÓMO USAR ESTE LIBRO</t>
        </is>
      </c>
      <c r="B4" s="110" t="n"/>
      <c r="C4" s="110" t="n"/>
    </row>
    <row r="5" ht="23.85" customHeight="1" s="106">
      <c r="A5" s="111" t="inlineStr">
        <is>
          <t>Entrada · fondo pulpa, texto azul</t>
        </is>
      </c>
      <c r="B5" s="112" t="inlineStr">
        <is>
          <t>Variable editable: escribe aquí tus datos (precios, tarifas, volúmenes, puntajes).</t>
        </is>
      </c>
    </row>
    <row r="6" ht="23.85" customHeight="1" s="106">
      <c r="A6" s="113" t="inlineStr">
        <is>
          <t>Constante · fondo crema, texto ciruela</t>
        </is>
      </c>
      <c r="B6" s="112" t="inlineStr">
        <is>
          <t>Valor fijo por definición (meses del año, kg por tonelada). No hace falta cambiarlo.</t>
        </is>
      </c>
    </row>
    <row r="7" ht="15" customHeight="1" s="106">
      <c r="A7" s="114" t="inlineStr">
        <is>
          <t>Fórmula · fondo gris cálido, texto negro</t>
        </is>
      </c>
      <c r="B7" s="112" t="inlineStr">
        <is>
          <t>Cálculo: contiene una fórmula. No la toques; se actualiza sola.</t>
        </is>
      </c>
    </row>
    <row r="8" ht="35.05" customHeight="1" s="106">
      <c r="A8" s="115" t="inlineStr">
        <is>
          <t>Enlace · texto verde</t>
        </is>
      </c>
      <c r="B8" s="112" t="inlineStr">
        <is>
          <t>Viene de otra hoja o de un nombre definido (por ejemplo, Caja lee H5; H5 lee el tipo de cambio TC_PEN). En las hojas de herramientas puedes sobrescribirlo.</t>
        </is>
      </c>
    </row>
    <row r="9" ht="15" customHeight="1" s="106">
      <c r="A9" s="116" t="inlineStr">
        <is>
          <t>Encabezado ciruela</t>
        </is>
      </c>
      <c r="B9" s="112" t="inlineStr">
        <is>
          <t>Nombre de la herramienta o de la tabla (texto crema).</t>
        </is>
      </c>
    </row>
    <row r="10" ht="35.05" customHeight="1" s="106">
      <c r="A10" s="117" t="inlineStr">
        <is>
          <t>Variables globales</t>
        </is>
      </c>
      <c r="B10" s="112" t="inlineStr">
        <is>
          <t>Tipo de cambio (TC_PEN = S/ por USD) y otras monedas: se cambian una sola vez en «Parámetros LatAm», bloque «Variables y constantes globales». Todas las fórmulas las leen por su nombre definido.</t>
        </is>
      </c>
    </row>
    <row r="11" ht="46.25" customHeight="1" s="106">
      <c r="A11" s="117" t="inlineStr">
        <is>
          <t>Semáforos</t>
        </is>
      </c>
      <c r="B11" s="112" t="inlineStr">
        <is>
          <t>Ciruela con texto blanco = crítico / frágil · pulpa = vigilar / zona de riesgo / margen bruto real viable (30–50%) · verde = sano / densidad viable / robusto. H4 usa cuatro tramos: rojo (ciruela), naranja (pulpa oscura), amarillo (pulpa) y verde.</t>
        </is>
      </c>
    </row>
    <row r="12" ht="23.85" customHeight="1" s="106">
      <c r="A12" s="117" t="inlineStr">
        <is>
          <t>Listas desplegables</t>
        </is>
      </c>
      <c r="B12" s="112" t="inlineStr">
        <is>
          <t>Producto, tipo de transporte, base de merma, ¿coinciden?, lado del riesgo y plazo de cobro se eligen de una lista.</t>
        </is>
      </c>
    </row>
    <row r="13" ht="23.85" customHeight="1" s="106">
      <c r="A13" s="117" t="inlineStr">
        <is>
          <t>Casos precargados</t>
        </is>
      </c>
      <c r="B13" s="112" t="inlineStr">
        <is>
          <t>Cada hoja trae un ejemplo resuelto del libro (sacha inchi; camu camu v4: Yarina Camu y la marca Riverleaf, ficticias). Reemplázalo por tus datos.</t>
        </is>
      </c>
    </row>
    <row r="14" ht="23.85" customHeight="1" s="106">
      <c r="A14" s="117" t="inlineStr">
        <is>
          <t>Protección (opcional)</t>
        </is>
      </c>
      <c r="B14" s="112" t="inlineStr">
        <is>
          <t>Las celdas de entrada están desbloqueadas. Si quieres blindar las fórmulas: Revisar › Proteger hoja, sin contraseña.</t>
        </is>
      </c>
    </row>
    <row r="15" ht="23.85" customHeight="1" s="106">
      <c r="A15" s="117" t="inlineStr">
        <is>
          <t>Monte Carlo (H5)</t>
        </is>
      </c>
      <c r="B15" s="112" t="inlineStr">
        <is>
          <t>Usa ALEATORIO()/RAND(): cambia con cada recálculo (F9). Para presentar, copia y pega como valores.</t>
        </is>
      </c>
    </row>
    <row r="17" ht="15" customHeight="1" s="106">
      <c r="A17" s="109" t="inlineStr">
        <is>
          <t>LAS HOJAS</t>
        </is>
      </c>
      <c r="B17" s="110" t="n"/>
      <c r="C17" s="110" t="n"/>
    </row>
    <row r="18" ht="57.45" customHeight="1" s="106">
      <c r="A18" s="117" t="inlineStr">
        <is>
          <t>Parámetros LatAm</t>
        </is>
      </c>
      <c r="B18" s="112" t="inlineStr">
        <is>
          <t>Arriba, las variables y constantes globales con nombre definido (tipo de cambio TC_PEN y otras monedas, por país). Debajo, rangos bajo / típico / alto con fuente, año y confiabilidad: transporte, humedad, merma, densificación, cumplimiento, comunidad, canales, finanzas y caso camu camu v4.</t>
        </is>
      </c>
    </row>
    <row r="19" ht="23.85" customHeight="1" s="106">
      <c r="A19" s="117" t="inlineStr">
        <is>
          <t>H1 Densidad</t>
        </is>
      </c>
      <c r="B19" s="112" t="inlineStr">
        <is>
          <t>Herramienta 1 (Paso 01). Densidad de valor, vender fresco frente a densificado y meses para recuperar el equipo.</t>
        </is>
      </c>
    </row>
    <row r="20" ht="23.85" customHeight="1" s="106">
      <c r="A20" s="117" t="inlineStr">
        <is>
          <t>H2 Gobernanza</t>
        </is>
      </c>
      <c r="B20" s="112" t="inlineStr">
        <is>
          <t>Herramienta 2 (Paso 02). Canvas de gobernanza: alineamiento, mapa de riesgos (probabilidad × impacto) y simulador de reparto enlazado a H5.</t>
        </is>
      </c>
    </row>
    <row r="21" ht="23.85" customHeight="1" s="106">
      <c r="A21" s="117" t="inlineStr">
        <is>
          <t>H3 Margen territorial</t>
        </is>
      </c>
      <c r="B21" s="112" t="inlineStr">
        <is>
          <t>Herramienta 3 (Paso 03). Peso logístico, costo territorial, margen territorial y margen bruto real; seis casos lado a lado.</t>
        </is>
      </c>
    </row>
    <row r="22" ht="35.05" customHeight="1" s="106">
      <c r="A22" s="117" t="inlineStr">
        <is>
          <t>H4 Ficha de oferta</t>
        </is>
      </c>
      <c r="B22" s="112" t="inlineStr">
        <is>
          <t>Herramienta 4 (Paso 04). Ficha de oferta lista: seis dimensiones 1–5, puntaje 6–30 con semáforo, regla de bloqueo, brechas prioritarias y plan mínimo de inocuidad (Guía 4.1).</t>
        </is>
      </c>
    </row>
    <row r="23" ht="46.25" customHeight="1" s="106">
      <c r="A23" s="117" t="inlineStr">
        <is>
          <t>H5 Unit economics</t>
        </is>
      </c>
      <c r="B23" s="112" t="inlineStr">
        <is>
          <t>Herramienta 5 (Paso 05, pasos A y B). Caso camu camu v4 (Ucayali, cinco productos y cuatro compradores): margen de contribución, resultado operativo, equilibrio, peso de la marca, métricas BBS, escenarios con etapa 2, variantes, sensibilidad y Monte Carlo.</t>
        </is>
      </c>
    </row>
    <row r="24" ht="35.05" customHeight="1" s="106">
      <c r="A24" s="117" t="inlineStr">
        <is>
          <t>Caja</t>
        </is>
      </c>
      <c r="B24" s="112" t="inlineStr">
        <is>
          <t>Herramienta 5, paso C. Flujo de caja de 12 meses (febrero a enero) con las dos cosechas de Ucayali, inventario, plazo de cobro por comprador, adelanto de la marca y capital de trabajo pico.</t>
        </is>
      </c>
    </row>
    <row r="25" ht="35.05" customHeight="1" s="106">
      <c r="A25" s="117" t="inlineStr">
        <is>
          <t>Capital</t>
        </is>
      </c>
      <c r="B25" s="112" t="inlineStr">
        <is>
          <t>Herramienta 5, paso C. Simulador de mezcla: capital propio, fondo no reembolsable y préstamo de impacto; efecto en la caja mes a mes; cobertura de la deuda del liofilizador (etapa 2) e instrumentos de referencia.</t>
        </is>
      </c>
    </row>
    <row r="27" ht="15" customHeight="1" s="106">
      <c r="A27" s="109" t="inlineStr">
        <is>
          <t>LAS CUATRO MÉTRICAS BBS (REGLAS PRÁCTICAS; RECUADRO DEL PASO 01)</t>
        </is>
      </c>
      <c r="B27" s="110" t="n"/>
      <c r="C27" s="110" t="n"/>
    </row>
    <row r="28" ht="15" customHeight="1" s="106">
      <c r="A28" s="116" t="inlineStr">
        <is>
          <t>Métrica</t>
        </is>
      </c>
      <c r="B28" s="116" t="inlineStr">
        <is>
          <t>Fórmula</t>
        </is>
      </c>
      <c r="C28" s="116" t="inlineStr">
        <is>
          <t>Rangos</t>
        </is>
      </c>
    </row>
    <row r="29" ht="31.5" customHeight="1" s="106">
      <c r="A29" s="117" t="inlineStr">
        <is>
          <t>Densidad de valor</t>
        </is>
      </c>
      <c r="B29" s="112" t="inlineStr">
        <is>
          <t>Precio de venta por kg ÷ flete troncal por kg (transporte principal origen → mercado o puerto).</t>
        </is>
      </c>
      <c r="C29" s="112" t="inlineStr">
        <is>
          <t>&lt; 3 crítica · 3–10 zona de riesgo · &gt; 10 viable</t>
        </is>
      </c>
    </row>
    <row r="30" ht="57.75" customHeight="1" s="106">
      <c r="A30" s="117" t="inlineStr">
        <is>
          <t>Peso logístico</t>
        </is>
      </c>
      <c r="B30" s="112" t="inlineStr">
        <is>
          <t>Costo logístico puerta a puerta por kg (primera milla + acopio + transporte troncal + manipuleo) ÷ precio de venta por kg.</t>
        </is>
      </c>
      <c r="C30" s="112" t="inlineStr">
        <is>
          <t>&lt; 15% sano · 15–30% vigilar · &gt; 30% crítico</t>
        </is>
      </c>
    </row>
    <row r="31" ht="57.75" customHeight="1" s="106">
      <c r="A31" s="117" t="inlineStr">
        <is>
          <t>Margen territorial (MT)</t>
        </is>
      </c>
      <c r="B31" s="112" t="inlineStr">
        <is>
          <t>(P − CT) ÷ P. CT = logística puerta a puerta + merma valorizada + sobrecosto de estabilización en origen + participación comunitaria + cumplimiento de origen (certificaciones, análisis, permisos prorrateados) + contingencia climática.</t>
        </is>
      </c>
      <c r="C31" s="112" t="inlineStr">
        <is>
          <t>&gt; 75% sano · 60–75% vigilar · &lt; 60% crítico</t>
        </is>
      </c>
    </row>
    <row r="32" ht="31.5" customHeight="1" s="106">
      <c r="A32" s="117" t="inlineStr">
        <is>
          <t>Margen bruto real</t>
        </is>
      </c>
      <c r="B32" s="112" t="inlineStr">
        <is>
          <t>MT − (costos de producción por kg ÷ P). Producción = biomasa pagada + proceso + empaque.</t>
        </is>
      </c>
      <c r="C32" s="112" t="inlineStr">
        <is>
          <t>&lt; 30% frágil · 30–50% viable · &gt; 50% robusto</t>
        </is>
      </c>
    </row>
    <row r="33" ht="22.35" customHeight="1" s="106">
      <c r="A33" s="118" t="inlineStr">
        <is>
          <t>Semáforos: ciruela = crítico / frágil · pulpa = vigilar / zona de riesgo / margen bruto real viable (30–50%) · verde = sano / densidad viable / robusto. Resultado operativo = margen de contribución × volumen − costos fijos (antes de depreciación, intereses e impuestos); el cumplimiento es costo fijo.</t>
        </is>
      </c>
    </row>
    <row r="35" ht="15" customHeight="1" s="106">
      <c r="A35" s="109" t="inlineStr">
        <is>
          <t>ADVERTENCIA</t>
        </is>
      </c>
      <c r="B35" s="110" t="n"/>
      <c r="C35" s="110" t="n"/>
    </row>
    <row r="36" ht="48" customHeight="1" s="106">
      <c r="A36" s="119" t="inlineStr">
        <is>
          <t>Ejercicio estándar de orden de magnitud; reemplaza los valores por cotizaciones reales. Las cuatro métricas son «reglas prácticas BBS»: sirven para decidir rápido y detectar alertas, no para cotizar ni para dar precisión. Las filas marcadas «estimación BBS» no tienen fuente directa.</t>
        </is>
      </c>
    </row>
    <row r="38" ht="15" customHeight="1" s="106">
      <c r="A38" s="117" t="inlineStr">
        <is>
          <t>Versión</t>
        </is>
      </c>
      <c r="B38" s="120" t="inlineStr">
        <is>
          <t>2.2 · alineada con el manuscrito v3 con el caso camu camu v4 (Pasos 01, 03, 04 y 05) y la tabla canónica caso_camu_v4.md; tipo de cambio como variable única (TC_PEN)</t>
        </is>
      </c>
    </row>
    <row r="39" ht="15" customHeight="1" s="106">
      <c r="A39" s="117" t="inlineStr">
        <is>
          <t>Fecha</t>
        </is>
      </c>
      <c r="B39" s="120" t="inlineStr">
        <is>
          <t>4 de octubre de 2026</t>
        </is>
      </c>
    </row>
    <row r="40" ht="30" customHeight="1" s="106">
      <c r="A40" s="117" t="inlineStr">
        <is>
          <t>Tipos de cambio de referencia</t>
        </is>
      </c>
      <c r="B40" s="121">
        <f>"PEN "&amp;TEXT(TC_PEN,"0.00")&amp;" · COP "&amp;TEXT(TC_COP,"#,##0")&amp;" · BRL "&amp;TEXT(TC_BRL,"0.00")&amp;" por USD · EUR 1 = USD "&amp;TEXT(TC_EUR,"0.00")&amp;". Referencia del libro, solo para el ejercicio: cámbialos en «Parámetros LatAm», bloque «Variables y constantes globales»."</f>
        <v/>
      </c>
    </row>
    <row r="41" ht="35.05" customHeight="1" s="106">
      <c r="A41" s="117" t="inlineStr">
        <is>
          <t>Fuentes</t>
        </is>
      </c>
      <c r="B41" s="112" t="inlineStr">
        <is>
          <t>investigacion_logistica.md, investigacion_costos_finanzas.md y sus JSON; manuscrito v3, Pasos 01–05; caso_camu_v4.md y revision_numerica/camu_ucayali_modelo.py.</t>
        </is>
      </c>
    </row>
  </sheetData>
  <mergeCells count="3">
    <mergeCell ref="A1:C1"/>
    <mergeCell ref="A33:C33"/>
    <mergeCell ref="A36:C36"/>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tabColor rgb="FF5A1638"/>
    <outlinePr summaryBelow="1" summaryRight="1"/>
    <pageSetUpPr fitToPage="0"/>
  </sheetPr>
  <dimension ref="A1:U268"/>
  <sheetViews>
    <sheetView showFormulas="0" showGridLines="1" showRowColHeaders="1" showZeros="1" rightToLeft="0" tabSelected="0" showOutlineSymbols="1" defaultGridColor="1"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baseColWidth="8" defaultColWidth="8.6796875" defaultRowHeight="15" customHeight="0" zeroHeight="0" outlineLevelRow="0"/>
  <cols>
    <col width="22" customWidth="1" style="105" min="1" max="1"/>
    <col width="58" customWidth="1" style="105" min="2" max="2"/>
    <col width="20" customWidth="1" style="105" min="3" max="3"/>
    <col width="11" customWidth="1" style="105" min="4" max="6"/>
    <col width="46" customWidth="1" style="105" min="7" max="7"/>
    <col width="11" customWidth="1" style="105" min="8" max="8"/>
    <col width="50" customWidth="1" style="105" min="9" max="9"/>
    <col width="20" customWidth="1" style="105" min="10" max="10"/>
    <col width="3" customWidth="1" style="105" min="11" max="11"/>
    <col width="46" customWidth="1" style="105" min="12" max="12"/>
    <col width="14" customWidth="1" style="105" min="13" max="13"/>
    <col width="16" customWidth="1" style="105" min="14" max="14"/>
    <col width="50" customWidth="1" style="105" min="15" max="15"/>
    <col width="28" customWidth="1" style="105" min="16" max="16"/>
    <col width="3" customWidth="1" style="105" min="17" max="17"/>
    <col width="64" customWidth="1" style="105" min="18" max="18"/>
    <col width="14" customWidth="1" style="105" min="19" max="19"/>
    <col width="11" customWidth="1" style="105" min="20" max="21"/>
  </cols>
  <sheetData>
    <row r="1" ht="30" customHeight="1" s="106">
      <c r="A1" s="122" t="inlineStr">
        <is>
          <t>Parámetros LatAm</t>
        </is>
      </c>
    </row>
    <row r="2" ht="15" customHeight="1" s="106">
      <c r="A2" s="123" t="inlineStr">
        <is>
          <t>Rangos para ejercicios estándar (órdenes de magnitud). «estimación BBS» = sin fuente directa; confírmalos con cotizaciones.</t>
        </is>
      </c>
    </row>
    <row r="4" ht="35.05" customHeight="1" s="106">
      <c r="A4" s="109" t="inlineStr">
        <is>
          <t>VARIABLES Y CONSTANTES GLOBALES · CÁMBIALAS AQUÍ: TODO EL LIBRO LAS LEE POR SU NOMBRE DEFINIDO</t>
        </is>
      </c>
      <c r="B4" s="110" t="n"/>
      <c r="C4" s="110" t="n"/>
      <c r="D4" s="110" t="n"/>
      <c r="E4" s="110" t="n"/>
      <c r="F4" s="110" t="n"/>
      <c r="G4" s="110" t="n"/>
      <c r="H4" s="110" t="n"/>
      <c r="I4" s="110" t="n"/>
      <c r="J4" s="110" t="n"/>
      <c r="L4" s="124" t="inlineStr">
        <is>
          <t>Producto (lista H1)</t>
        </is>
      </c>
      <c r="M4" s="124" t="inlineStr">
        <is>
          <t>Humedad típica</t>
        </is>
      </c>
      <c r="N4" s="124" t="inlineStr">
        <is>
          <t>Factor típico (kg biomasa / kg producto)</t>
        </is>
      </c>
      <c r="O4" s="124" t="inlineStr">
        <is>
          <t>Producto final de referencia</t>
        </is>
      </c>
      <c r="P4" s="124" t="inlineStr">
        <is>
          <t>Origen del factor</t>
        </is>
      </c>
      <c r="R4" s="124" t="inlineStr">
        <is>
          <t>Transporte troncal (lista H1)</t>
        </is>
      </c>
      <c r="S4" s="124" t="inlineStr">
        <is>
          <t>Típico USD/kg</t>
        </is>
      </c>
      <c r="T4" s="124" t="inlineStr">
        <is>
          <t>Bajo</t>
        </is>
      </c>
      <c r="U4" s="124" t="inlineStr">
        <is>
          <t>Alto</t>
        </is>
      </c>
    </row>
    <row r="5" ht="15" customHeight="1" s="106">
      <c r="A5" s="125" t="inlineStr">
        <is>
          <t>Leyenda</t>
        </is>
      </c>
      <c r="B5" s="126" t="inlineStr">
        <is>
          <t>Entrada: variable editable</t>
        </is>
      </c>
      <c r="C5" s="127" t="inlineStr">
        <is>
          <t>Constante</t>
        </is>
      </c>
      <c r="D5" s="128" t="inlineStr">
        <is>
          <t>Fórmula (no tocar)</t>
        </is>
      </c>
      <c r="E5" s="129" t="n"/>
      <c r="F5" s="129" t="n"/>
      <c r="G5" s="130" t="inlineStr">
        <is>
          <t>Enlace desde otra hoja o nombre</t>
        </is>
      </c>
      <c r="L5" s="131" t="inlineStr">
        <is>
          <t>Camu camu (fruto)</t>
        </is>
      </c>
      <c r="M5" s="132">
        <f>E103/100</f>
        <v/>
      </c>
      <c r="N5" s="133" t="n">
        <v>6.7</v>
      </c>
      <c r="O5" s="131" t="inlineStr">
        <is>
          <t>Polvo de fruta entera deshidratada (Paso 05, capa 1): 6.7 kg/kg (materia seca 15%). Liofilizado de pulpa pura: 26.8 kg/kg; con maltodextrina 60:40 ~17</t>
        </is>
      </c>
      <c r="P5" s="131" t="inlineStr">
        <is>
          <t>caso_camu_v4.md (modelo camu_ucayali_modelo.py)</t>
        </is>
      </c>
      <c r="R5" s="131" t="inlineStr">
        <is>
          <t>T01 · Camión completo San Martín (Tarapoto/Moyobamba)–Lima/Callao, carga agrícola</t>
        </is>
      </c>
      <c r="S5" s="134">
        <f>E73</f>
        <v/>
      </c>
      <c r="T5" s="134">
        <f>D73</f>
        <v/>
      </c>
      <c r="U5" s="134">
        <f>F73</f>
        <v/>
      </c>
    </row>
    <row r="6" ht="15" customHeight="1" s="106">
      <c r="A6" s="135" t="inlineStr">
        <is>
          <t>Nombre definido</t>
        </is>
      </c>
      <c r="B6" s="135" t="inlineStr">
        <is>
          <t>Variable</t>
        </is>
      </c>
      <c r="C6" s="135" t="inlineStr">
        <is>
          <t>Unidad</t>
        </is>
      </c>
      <c r="D6" s="135" t="inlineStr">
        <is>
          <t>Valor</t>
        </is>
      </c>
      <c r="E6" s="135" t="inlineStr">
        <is>
          <t>Fecha de referencia</t>
        </is>
      </c>
      <c r="F6" s="136" t="n"/>
      <c r="G6" s="135" t="inlineStr">
        <is>
          <t>Dónde se usa</t>
        </is>
      </c>
      <c r="H6" s="136" t="n"/>
      <c r="I6" s="135" t="inlineStr">
        <is>
          <t>Nota y fuente</t>
        </is>
      </c>
      <c r="J6" s="135" t="inlineStr">
        <is>
          <t>Bloque</t>
        </is>
      </c>
      <c r="L6" s="131" t="inlineStr">
        <is>
          <t>Aguaje (Mauritia flexuosa, fruto)</t>
        </is>
      </c>
      <c r="M6" s="132">
        <f>E104/100</f>
        <v/>
      </c>
      <c r="N6" s="133" t="n">
        <v>2.5</v>
      </c>
      <c r="O6" s="131" t="inlineStr">
        <is>
          <t>Secado integral del fruto: 1 ÷ (1 − humedad)</t>
        </is>
      </c>
      <c r="P6" s="131" t="inlineStr">
        <is>
          <t>Cálculo BBS</t>
        </is>
      </c>
      <c r="R6" s="131" t="inlineStr">
        <is>
          <t>T02 · Camión completo Lima–Pucallpa</t>
        </is>
      </c>
      <c r="S6" s="134">
        <f>E74</f>
        <v/>
      </c>
      <c r="T6" s="134">
        <f>D74</f>
        <v/>
      </c>
      <c r="U6" s="134">
        <f>F74</f>
        <v/>
      </c>
    </row>
    <row r="7" ht="15" customHeight="1" s="106">
      <c r="A7" s="137" t="inlineStr">
        <is>
          <t>País elegido para las herramientas H1–H3 (el caso camu camu de H5, Caja y Capital queda fijo en Perú)</t>
        </is>
      </c>
      <c r="B7" s="138" t="n"/>
      <c r="C7" s="138" t="n"/>
      <c r="D7" s="138" t="n"/>
      <c r="E7" s="138" t="n"/>
      <c r="F7" s="138" t="n"/>
      <c r="G7" s="138" t="n"/>
      <c r="H7" s="138" t="n"/>
      <c r="I7" s="138" t="n"/>
      <c r="J7" s="138" t="n"/>
      <c r="L7" s="131" t="inlineStr">
        <is>
          <t>Açaí (fruto)</t>
        </is>
      </c>
      <c r="M7" s="132">
        <f>E105/100</f>
        <v/>
      </c>
      <c r="N7" s="133" t="n">
        <v>15</v>
      </c>
      <c r="O7" s="131" t="inlineStr">
        <is>
          <t>Polvo liofilizado (10–20 kg de fruto por kg)</t>
        </is>
      </c>
      <c r="P7" s="131" t="inlineStr">
        <is>
          <t>Estimación BBS</t>
        </is>
      </c>
      <c r="R7" s="131" t="inlineStr">
        <is>
          <t>T03 · Camión completo Lima–Cusco</t>
        </is>
      </c>
      <c r="S7" s="134">
        <f>E75</f>
        <v/>
      </c>
      <c r="T7" s="134">
        <f>D75</f>
        <v/>
      </c>
      <c r="U7" s="134">
        <f>F75</f>
        <v/>
      </c>
    </row>
    <row r="8" ht="36" customHeight="1" s="106">
      <c r="A8" s="139" t="inlineStr">
        <is>
          <t>PAIS</t>
        </is>
      </c>
      <c r="B8" s="112" t="inlineStr">
        <is>
          <t>País del lector (lista): PE, CO, EC, BO, BR, MX u Otro</t>
        </is>
      </c>
      <c r="C8" s="131" t="inlineStr">
        <is>
          <t>código</t>
        </is>
      </c>
      <c r="D8" s="140" t="inlineStr">
        <is>
          <t>PE</t>
        </is>
      </c>
      <c r="E8" s="131" t="n"/>
      <c r="G8" s="141" t="inlineStr">
        <is>
          <t>Bloque «Mi país» de H1, H2 y H3</t>
        </is>
      </c>
      <c r="I8" s="118" t="inlineStr">
        <is>
          <t>Elige tu país: las variables _SEL de abajo toman los valores de su bloque. Si tu país no está, elige «Otro» y completa su bloque.</t>
        </is>
      </c>
      <c r="J8" s="131" t="inlineStr">
        <is>
          <t>Selector</t>
        </is>
      </c>
      <c r="L8" s="131" t="inlineStr">
        <is>
          <t>Sacha inchi (semilla con cáscara, seca)</t>
        </is>
      </c>
      <c r="M8" s="132">
        <f>E106/100</f>
        <v/>
      </c>
      <c r="N8" s="133" t="n">
        <v>4.6</v>
      </c>
      <c r="O8" s="131" t="inlineStr">
        <is>
          <t>Aceite prensado en frío desde semilla con cáscara (3.6–5.6); desde almendra ~3.0–3.5</t>
        </is>
      </c>
      <c r="P8" s="131" t="inlineStr">
        <is>
          <t>Cálculo BBS (D13)</t>
        </is>
      </c>
      <c r="R8" s="131" t="inlineStr">
        <is>
          <t>T04 · Camión completo Lima–Arequipa</t>
        </is>
      </c>
      <c r="S8" s="134">
        <f>E76</f>
        <v/>
      </c>
      <c r="T8" s="134">
        <f>D76</f>
        <v/>
      </c>
      <c r="U8" s="134">
        <f>F76</f>
        <v/>
      </c>
    </row>
    <row r="9" ht="30" customHeight="1" s="106">
      <c r="A9" s="139" t="inlineStr">
        <is>
          <t>TC_SEL</t>
        </is>
      </c>
      <c r="B9" s="112" t="inlineStr">
        <is>
          <t>Tipo de cambio de referencia del país elegido</t>
        </is>
      </c>
      <c r="C9" s="131" t="inlineStr">
        <is>
          <t>moneda local por USD</t>
        </is>
      </c>
      <c r="D9" s="134">
        <f>IFERROR(IF(CHOOSE(MATCH(PAIS,{"PE","CO","EC","BO","BR","MX","Otro"},0),TC_PEN,TC_COP,TC_USD_EC,TC_BOB,TC_BRL,TC_MXN,TC_OTRO)="","",CHOOSE(MATCH(PAIS,{"PE","CO","EC","BO","BR","MX","Otro"},0),TC_PEN,TC_COP,TC_USD_EC,TC_BOB,TC_BRL,TC_MXN,TC_OTRO)),"")</f>
        <v/>
      </c>
      <c r="E9" s="131" t="n"/>
      <c r="G9" s="141" t="inlineStr">
        <is>
          <t>Bloque «Mi país» de H1, H2 y H3</t>
        </is>
      </c>
      <c r="I9" s="118" t="inlineStr">
        <is>
          <t>Fórmula: toma el valor del bloque del país elegido. Vacío = dato por completar.</t>
        </is>
      </c>
      <c r="J9" s="131" t="inlineStr">
        <is>
          <t>Selector</t>
        </is>
      </c>
      <c r="L9" s="131" t="inlineStr">
        <is>
          <t>Castaña amazónica (con cáscara, recién recolectada)</t>
        </is>
      </c>
      <c r="M9" s="132">
        <f>E107/100</f>
        <v/>
      </c>
      <c r="N9" s="133" t="n">
        <v>2.1</v>
      </c>
      <c r="O9" s="131" t="inlineStr">
        <is>
          <t>Almendra pelada (~45–50% del peso con cáscara)</t>
        </is>
      </c>
      <c r="P9" s="131" t="inlineStr">
        <is>
          <t>Estimación BBS</t>
        </is>
      </c>
      <c r="R9" s="131" t="inlineStr">
        <is>
          <t>T05 · Camión completo Lima–Puno/Juliaca</t>
        </is>
      </c>
      <c r="S9" s="134">
        <f>E77</f>
        <v/>
      </c>
      <c r="T9" s="134">
        <f>D77</f>
        <v/>
      </c>
      <c r="U9" s="134">
        <f>F77</f>
        <v/>
      </c>
    </row>
    <row r="10" ht="30" customHeight="1" s="106">
      <c r="A10" s="139" t="inlineStr">
        <is>
          <t>SM_SEL</t>
        </is>
      </c>
      <c r="B10" s="112" t="inlineStr">
        <is>
          <t>Salario mínimo mensual, moneda local del país elegido</t>
        </is>
      </c>
      <c r="C10" s="131" t="inlineStr">
        <is>
          <t>moneda local por mes</t>
        </is>
      </c>
      <c r="D10" s="142">
        <f>IFERROR(IF(CHOOSE(MATCH(PAIS,{"PE","CO","EC","BO","BR","MX","Otro"},0),SM_PE,SM_CO,SM_EC,SM_BO,SM_BR,SM_MX,SM_OTRO)="","",CHOOSE(MATCH(PAIS,{"PE","CO","EC","BO","BR","MX","Otro"},0),SM_PE,SM_CO,SM_EC,SM_BO,SM_BR,SM_MX,SM_OTRO)),"")</f>
        <v/>
      </c>
      <c r="E10" s="131" t="n"/>
      <c r="G10" s="141" t="inlineStr">
        <is>
          <t>Bloque «Mi país» de H1, H2 y H3</t>
        </is>
      </c>
      <c r="I10" s="118" t="inlineStr">
        <is>
          <t>Fórmula: toma el valor del bloque del país elegido. Vacío = dato por completar.</t>
        </is>
      </c>
      <c r="J10" s="131" t="inlineStr">
        <is>
          <t>Selector</t>
        </is>
      </c>
      <c r="L10" s="131" t="inlineStr">
        <is>
          <t>Cacao (grano fresco en baba → seco)</t>
        </is>
      </c>
      <c r="M10" s="132">
        <f>E108/100</f>
        <v/>
      </c>
      <c r="N10" s="133" t="n">
        <v>2.75</v>
      </c>
      <c r="O10" s="131" t="inlineStr">
        <is>
          <t>Grano seco (2.5–3:1)</t>
        </is>
      </c>
      <c r="P10" s="131" t="inlineStr">
        <is>
          <t>Estimación BBS</t>
        </is>
      </c>
      <c r="R10" s="131" t="inlineStr">
        <is>
          <t>T06 · Camión completo Lima–Puerto Maldonado</t>
        </is>
      </c>
      <c r="S10" s="134">
        <f>E78</f>
        <v/>
      </c>
      <c r="T10" s="134">
        <f>D78</f>
        <v/>
      </c>
      <c r="U10" s="134">
        <f>F78</f>
        <v/>
      </c>
    </row>
    <row r="11" ht="30" customHeight="1" s="106">
      <c r="A11" s="139" t="inlineStr">
        <is>
          <t>SM_USD_SEL</t>
        </is>
      </c>
      <c r="B11" s="112" t="inlineStr">
        <is>
          <t>Salario mínimo mensual en USD del país elegido</t>
        </is>
      </c>
      <c r="C11" s="131" t="inlineStr">
        <is>
          <t>USD por mes</t>
        </is>
      </c>
      <c r="D11" s="143">
        <f>IFERROR(IF(CHOOSE(MATCH(PAIS,{"PE","CO","EC","BO","BR","MX","Otro"},0),SM_USD_PE,SM_USD_CO,SM_USD_EC,SM_USD_BO,SM_USD_BR,SM_USD_MX,SM_USD_OTRO)="","",CHOOSE(MATCH(PAIS,{"PE","CO","EC","BO","BR","MX","Otro"},0),SM_USD_PE,SM_USD_CO,SM_USD_EC,SM_USD_BO,SM_USD_BR,SM_USD_MX,SM_USD_OTRO)),"")</f>
        <v/>
      </c>
      <c r="E11" s="131" t="n"/>
      <c r="G11" s="141" t="inlineStr">
        <is>
          <t>Bloque «Mi país» de H1, H2 y H3</t>
        </is>
      </c>
      <c r="I11" s="118" t="inlineStr">
        <is>
          <t>Fórmula: toma el valor del bloque del país elegido. Vacío = dato por completar.</t>
        </is>
      </c>
      <c r="J11" s="131" t="inlineStr">
        <is>
          <t>Selector</t>
        </is>
      </c>
      <c r="L11" s="131" t="inlineStr">
        <is>
          <t>Maca (hipocótilo fresco)</t>
        </is>
      </c>
      <c r="M11" s="132">
        <f>E109/100</f>
        <v/>
      </c>
      <c r="N11" s="133" t="n">
        <v>4.5</v>
      </c>
      <c r="O11" s="131" t="inlineStr">
        <is>
          <t>Maca seca (4–5:1)</t>
        </is>
      </c>
      <c r="P11" s="131" t="inlineStr">
        <is>
          <t>Estimación BBS</t>
        </is>
      </c>
      <c r="R11" s="131" t="inlineStr">
        <is>
          <t>T07 · Camión completo Lima–Yurimaguas</t>
        </is>
      </c>
      <c r="S11" s="134">
        <f>E79</f>
        <v/>
      </c>
      <c r="T11" s="134">
        <f>D79</f>
        <v/>
      </c>
      <c r="U11" s="134">
        <f>F79</f>
        <v/>
      </c>
    </row>
    <row r="12" ht="30" customHeight="1" s="106">
      <c r="A12" s="139" t="inlineStr">
        <is>
          <t>IVA_SEL</t>
        </is>
      </c>
      <c r="B12" s="112" t="inlineStr">
        <is>
          <t>IVA / IGV general del país elegido</t>
        </is>
      </c>
      <c r="C12" s="131" t="inlineStr">
        <is>
          <t>%</t>
        </is>
      </c>
      <c r="D12" s="132">
        <f>IFERROR(IF(CHOOSE(MATCH(PAIS,{"PE","CO","EC","BO","BR","MX","Otro"},0),IVA_PE,IVA_CO,IVA_EC,IVA_BO,IVA_BR,IVA_MX,IVA_OTRO)="","",CHOOSE(MATCH(PAIS,{"PE","CO","EC","BO","BR","MX","Otro"},0),IVA_PE,IVA_CO,IVA_EC,IVA_BO,IVA_BR,IVA_MX,IVA_OTRO)),"")</f>
        <v/>
      </c>
      <c r="E12" s="131" t="n"/>
      <c r="G12" s="141" t="inlineStr">
        <is>
          <t>Bloque «Mi país» de H1, H2 y H3</t>
        </is>
      </c>
      <c r="I12" s="118" t="inlineStr">
        <is>
          <t>Fórmula: toma el valor del bloque del país elegido. Vacío = dato por completar.</t>
        </is>
      </c>
      <c r="J12" s="131" t="inlineStr">
        <is>
          <t>Selector</t>
        </is>
      </c>
      <c r="L12" s="131" t="inlineStr">
        <is>
          <t>Quinua (grano cosechado)</t>
        </is>
      </c>
      <c r="M12" s="132">
        <f>E110/100</f>
        <v/>
      </c>
      <c r="N12" s="133" t="n">
        <v>1.1</v>
      </c>
      <c r="O12" s="131" t="inlineStr">
        <is>
          <t>Grano limpio (5–15% de pérdida)</t>
        </is>
      </c>
      <c r="P12" s="131" t="inlineStr">
        <is>
          <t>Estimación BBS</t>
        </is>
      </c>
      <c r="R12" s="131" t="inlineStr">
        <is>
          <t>T10 · Camión completo Ecuador Amazonía (Lago Agrio/Tena)–Guayaquil ~500–600 km</t>
        </is>
      </c>
      <c r="S12" s="134">
        <f>E82</f>
        <v/>
      </c>
      <c r="T12" s="134">
        <f>D82</f>
        <v/>
      </c>
      <c r="U12" s="134">
        <f>F82</f>
        <v/>
      </c>
    </row>
    <row r="13" ht="30" customHeight="1" s="106">
      <c r="A13" s="139" t="inlineStr">
        <is>
          <t>IR_SEL</t>
        </is>
      </c>
      <c r="B13" s="112" t="inlineStr">
        <is>
          <t>Impuesto a la renta, régimen general del país elegido</t>
        </is>
      </c>
      <c r="C13" s="131" t="inlineStr">
        <is>
          <t>%</t>
        </is>
      </c>
      <c r="D13" s="132">
        <f>IFERROR(IF(CHOOSE(MATCH(PAIS,{"PE","CO","EC","BO","BR","MX","Otro"},0),IR_PE,IR_CO,IR_EC,IR_BO,IR_BR,IR_MX,IR_OTRO)="","",CHOOSE(MATCH(PAIS,{"PE","CO","EC","BO","BR","MX","Otro"},0),IR_PE,IR_CO,IR_EC,IR_BO,IR_BR,IR_MX,IR_OTRO)),"")</f>
        <v/>
      </c>
      <c r="E13" s="131" t="n"/>
      <c r="G13" s="141" t="inlineStr">
        <is>
          <t>Bloque «Mi país» de H1, H2 y H3</t>
        </is>
      </c>
      <c r="I13" s="118" t="inlineStr">
        <is>
          <t>Fórmula: toma el valor del bloque del país elegido. Vacío = dato por completar.</t>
        </is>
      </c>
      <c r="J13" s="131" t="inlineStr">
        <is>
          <t>Selector</t>
        </is>
      </c>
      <c r="L13" s="131" t="inlineStr">
        <is>
          <t>Aguaymanto (fruto)</t>
        </is>
      </c>
      <c r="M13" s="132">
        <f>E111/100</f>
        <v/>
      </c>
      <c r="N13" s="133" t="n">
        <v>4.5</v>
      </c>
      <c r="O13" s="131" t="inlineStr">
        <is>
          <t>Deshidratado (4–5:1); polvo 6–7:1</t>
        </is>
      </c>
      <c r="P13" s="131" t="inlineStr">
        <is>
          <t>Manuscrito / estimación BBS</t>
        </is>
      </c>
      <c r="R13" s="131" t="inlineStr">
        <is>
          <t>T11 · Camión Bolivia Riberalta–Santa Cruz ~1,100–1,400 km</t>
        </is>
      </c>
      <c r="S13" s="134">
        <f>E83</f>
        <v/>
      </c>
      <c r="T13" s="134">
        <f>D83</f>
        <v/>
      </c>
      <c r="U13" s="134">
        <f>F83</f>
        <v/>
      </c>
    </row>
    <row r="14" ht="30" customHeight="1" s="106">
      <c r="A14" s="139" t="inlineStr">
        <is>
          <t>TPM_SEL</t>
        </is>
      </c>
      <c r="B14" s="112" t="inlineStr">
        <is>
          <t>Tasa de política monetaria del país elegido</t>
        </is>
      </c>
      <c r="C14" s="131" t="inlineStr">
        <is>
          <t>% anual</t>
        </is>
      </c>
      <c r="D14" s="144">
        <f>IFERROR(IF(CHOOSE(MATCH(PAIS,{"PE","CO","EC","BO","BR","MX","Otro"},0),TPM_PE,TPM_CO,TPM_EC,TPM_BO,TPM_BR,TPM_MX,TPM_OTRO)="","",CHOOSE(MATCH(PAIS,{"PE","CO","EC","BO","BR","MX","Otro"},0),TPM_PE,TPM_CO,TPM_EC,TPM_BO,TPM_BR,TPM_MX,TPM_OTRO)),"")</f>
        <v/>
      </c>
      <c r="E14" s="131" t="n"/>
      <c r="G14" s="141" t="inlineStr">
        <is>
          <t>Bloque «Mi país» de H1, H2 y H3</t>
        </is>
      </c>
      <c r="I14" s="118" t="inlineStr">
        <is>
          <t>Fórmula: toma el valor del bloque del país elegido. Vacío = dato por completar.</t>
        </is>
      </c>
      <c r="J14" s="131" t="inlineStr">
        <is>
          <t>Selector</t>
        </is>
      </c>
      <c r="L14" s="131" t="inlineStr">
        <is>
          <t>Tara (vaina)</t>
        </is>
      </c>
      <c r="M14" s="132">
        <f>E112/100</f>
        <v/>
      </c>
      <c r="N14" s="133" t="n">
        <v>1.6</v>
      </c>
      <c r="O14" s="131" t="inlineStr">
        <is>
          <t>Polvo de vaina (~60–65% de la vaina)</t>
        </is>
      </c>
      <c r="P14" s="131" t="inlineStr">
        <is>
          <t>Estimación BBS</t>
        </is>
      </c>
      <c r="R14" s="131" t="inlineStr">
        <is>
          <t>T12 · Camión Brasil Belém–São Paulo ~2,900 km</t>
        </is>
      </c>
      <c r="S14" s="134">
        <f>E84</f>
        <v/>
      </c>
      <c r="T14" s="134">
        <f>D84</f>
        <v/>
      </c>
      <c r="U14" s="134">
        <f>F84</f>
        <v/>
      </c>
    </row>
    <row r="15" ht="15" customHeight="1" s="106">
      <c r="A15" s="137" t="inlineStr">
        <is>
          <t>Perú (PE)</t>
        </is>
      </c>
      <c r="B15" s="138" t="n"/>
      <c r="C15" s="138" t="n"/>
      <c r="D15" s="138" t="n"/>
      <c r="E15" s="138" t="n"/>
      <c r="F15" s="138" t="n"/>
      <c r="G15" s="138" t="n"/>
      <c r="H15" s="138" t="n"/>
      <c r="I15" s="138" t="n"/>
      <c r="J15" s="138" t="n"/>
      <c r="L15" s="131" t="inlineStr">
        <is>
          <t>Sangre de grado (látex)</t>
        </is>
      </c>
      <c r="M15" s="132">
        <f>E113/100</f>
        <v/>
      </c>
      <c r="N15" s="133" t="n">
        <v>7</v>
      </c>
      <c r="O15" s="131" t="inlineStr">
        <is>
          <t>Liofilizado (6–8:1)</t>
        </is>
      </c>
      <c r="P15" s="131" t="inlineStr">
        <is>
          <t>Estimación BBS</t>
        </is>
      </c>
      <c r="R15" s="131" t="inlineStr">
        <is>
          <t>T13 · Agencia de carga consolidada Tarapoto–Lima (lotes desde ~200 kg)</t>
        </is>
      </c>
      <c r="S15" s="134">
        <f>E85</f>
        <v/>
      </c>
      <c r="T15" s="134">
        <f>D85</f>
        <v/>
      </c>
      <c r="U15" s="134">
        <f>F85</f>
        <v/>
      </c>
    </row>
    <row r="16" ht="60" customHeight="1" s="106">
      <c r="A16" s="139" t="inlineStr">
        <is>
          <t>TC_PEN</t>
        </is>
      </c>
      <c r="B16" s="112" t="inlineStr">
        <is>
          <t>Tipo de cambio de referencia, S/ por USD</t>
        </is>
      </c>
      <c r="C16" s="131" t="inlineStr">
        <is>
          <t>S/ por USD</t>
        </is>
      </c>
      <c r="D16" s="145" t="n">
        <v>3.6</v>
      </c>
      <c r="E16" s="131" t="inlineStr">
        <is>
          <t>oct 2026</t>
        </is>
      </c>
      <c r="G16" s="141" t="inlineStr">
        <is>
          <t>H5: fruta (S/ 2.20) y fletes Pucallpa–Lima (S/ 0.50 y 0.75) en USD; variantes, Monte Carlo y sensibilidad; Parámetros (fruta del caso); Capital (ProInnóvate en USD)</t>
        </is>
      </c>
      <c r="I16" s="118" t="inlineStr">
        <is>
          <t>Tipo de cambio de referencia del libro, solo para fines del ejercicio; actualízalo. El BCRP cerró el 29 sep 2026 en S/ 3.441 (El Comercio): pruébalo y mira la tabla «Sensibilidad al tipo de cambio» de H5.</t>
        </is>
      </c>
      <c r="J16" s="131" t="inlineStr">
        <is>
          <t>Perú</t>
        </is>
      </c>
      <c r="L16" s="131" t="inlineStr">
        <is>
          <t>Ungurahua (fruto)</t>
        </is>
      </c>
      <c r="M16" s="132">
        <f>E114/100</f>
        <v/>
      </c>
      <c r="N16" s="133" t="n">
        <v>6.7</v>
      </c>
      <c r="O16" s="131" t="inlineStr">
        <is>
          <t>Aceite (10–20% del fruto)</t>
        </is>
      </c>
      <c r="P16" s="131" t="inlineStr">
        <is>
          <t>Estimación BBS</t>
        </is>
      </c>
      <c r="R16" s="131" t="inlineStr">
        <is>
          <t>T14 · Courier puerta a puerta Lima–provincias (&gt;50 kg)</t>
        </is>
      </c>
      <c r="S16" s="134">
        <f>E86</f>
        <v/>
      </c>
      <c r="T16" s="134">
        <f>D86</f>
        <v/>
      </c>
      <c r="U16" s="134">
        <f>F86</f>
        <v/>
      </c>
    </row>
    <row r="17" ht="48" customHeight="1" s="106">
      <c r="A17" s="139" t="inlineStr">
        <is>
          <t>SM_PE</t>
        </is>
      </c>
      <c r="B17" s="112" t="inlineStr">
        <is>
          <t>Salario mínimo mensual, moneda local</t>
        </is>
      </c>
      <c r="C17" s="131" t="inlineStr">
        <is>
          <t>moneda local por mes</t>
        </is>
      </c>
      <c r="D17" s="146" t="n">
        <v>1230</v>
      </c>
      <c r="E17" s="131" t="inlineStr">
        <is>
          <t>1 oct 2026</t>
        </is>
      </c>
      <c r="G17" s="141" t="inlineStr">
        <is>
          <t>Bloque «Mi país» de H1, H2 y H3</t>
        </is>
      </c>
      <c r="I17" s="118" t="inlineStr">
        <is>
          <t>Remuneración mínima vital desde el 1 oct 2026 (DS 015-2026-TR, El Peruano, 28 sep 2026); S/ 1,300 en el primer semestre de 2027. El caso camu camu no usa la RMV.</t>
        </is>
      </c>
      <c r="J17" s="131" t="inlineStr">
        <is>
          <t>Perú</t>
        </is>
      </c>
      <c r="L17" s="131" t="inlineStr">
        <is>
          <t>Copaiba (oleorresina)</t>
        </is>
      </c>
      <c r="M17" s="132">
        <f>E115/100</f>
        <v/>
      </c>
      <c r="N17" s="133" t="n">
        <v>1</v>
      </c>
      <c r="O17" s="131" t="inlineStr">
        <is>
          <t>Oleorresina (~1:1, ya es densa)</t>
        </is>
      </c>
      <c r="P17" s="131" t="inlineStr">
        <is>
          <t>Estimación BBS</t>
        </is>
      </c>
      <c r="R17" s="131" t="inlineStr">
        <is>
          <t>T15 · Fluvial amazónico Iquitos–Yurimaguas/Pucallpa (carga general)</t>
        </is>
      </c>
      <c r="S17" s="134">
        <f>E87</f>
        <v/>
      </c>
      <c r="T17" s="134">
        <f>D87</f>
        <v/>
      </c>
      <c r="U17" s="134">
        <f>F87</f>
        <v/>
      </c>
    </row>
    <row r="18" ht="30" customHeight="1" s="106">
      <c r="A18" s="139" t="inlineStr">
        <is>
          <t>SM_USD_PE</t>
        </is>
      </c>
      <c r="B18" s="112" t="inlineStr">
        <is>
          <t>Salario mínimo mensual en USD</t>
        </is>
      </c>
      <c r="C18" s="131" t="inlineStr">
        <is>
          <t>USD por mes</t>
        </is>
      </c>
      <c r="D18" s="143">
        <f>IF(OR(SM_PE="",TC_PEN=""),"",SM_PE/TC_PEN)</f>
        <v/>
      </c>
      <c r="E18" s="131" t="n"/>
      <c r="G18" s="141" t="inlineStr">
        <is>
          <t>Bloque «Mi país» (salario mínimo en USD)</t>
        </is>
      </c>
      <c r="I18" s="118" t="inlineStr">
        <is>
          <t>Fórmula: salario mínimo ÷ tipo de cambio.</t>
        </is>
      </c>
      <c r="J18" s="131" t="inlineStr">
        <is>
          <t>Perú</t>
        </is>
      </c>
      <c r="L18" s="131" t="inlineStr">
        <is>
          <t>Algas marinas pardas (fresca)</t>
        </is>
      </c>
      <c r="M18" s="132">
        <f>E116/100</f>
        <v/>
      </c>
      <c r="N18" s="133" t="n">
        <v>6.5</v>
      </c>
      <c r="O18" s="131" t="inlineStr">
        <is>
          <t>Alga seca (5–8:1)</t>
        </is>
      </c>
      <c r="P18" s="131" t="inlineStr">
        <is>
          <t>Estimación BBS</t>
        </is>
      </c>
      <c r="R18" s="131" t="inlineStr">
        <is>
          <t>T16 · Aéreo doméstico carga general Lima–provincias (300 kg)</t>
        </is>
      </c>
      <c r="S18" s="134">
        <f>E88</f>
        <v/>
      </c>
      <c r="T18" s="134">
        <f>D88</f>
        <v/>
      </c>
      <c r="U18" s="134">
        <f>F88</f>
        <v/>
      </c>
    </row>
    <row r="19" ht="30" customHeight="1" s="106">
      <c r="A19" s="139" t="inlineStr">
        <is>
          <t>IVA_PE</t>
        </is>
      </c>
      <c r="B19" s="112" t="inlineStr">
        <is>
          <t>IVA / IGV general</t>
        </is>
      </c>
      <c r="C19" s="131" t="inlineStr">
        <is>
          <t>%</t>
        </is>
      </c>
      <c r="D19" s="147" t="n">
        <v>0.18</v>
      </c>
      <c r="E19" s="131" t="inlineStr">
        <is>
          <t>2026</t>
        </is>
      </c>
      <c r="G19" s="141" t="inlineStr">
        <is>
          <t>Bloque «Mi país» de H1, H2 y H3</t>
        </is>
      </c>
      <c r="I19" s="118" t="inlineStr">
        <is>
          <t>IGV (incluye IPM).</t>
        </is>
      </c>
      <c r="J19" s="131" t="inlineStr">
        <is>
          <t>Perú</t>
        </is>
      </c>
      <c r="L19" s="131" t="inlineStr">
        <is>
          <t>Frutas andinas (tumbo, sauco, pitahaya)</t>
        </is>
      </c>
      <c r="M19" s="132">
        <f>E117/100</f>
        <v/>
      </c>
      <c r="N19" s="133" t="n">
        <v>6.7</v>
      </c>
      <c r="O19" s="131" t="inlineStr">
        <is>
          <t>Polvo integral (hasta 6.7:1)</t>
        </is>
      </c>
      <c r="P19" s="131" t="inlineStr">
        <is>
          <t>Estimación BBS</t>
        </is>
      </c>
      <c r="R19" s="131" t="inlineStr">
        <is>
          <t>T17 · Aéreo Iquitos–Lima courier</t>
        </is>
      </c>
      <c r="S19" s="134">
        <f>E89</f>
        <v/>
      </c>
      <c r="T19" s="134">
        <f>D89</f>
        <v/>
      </c>
      <c r="U19" s="134">
        <f>F89</f>
        <v/>
      </c>
    </row>
    <row r="20" ht="36" customHeight="1" s="106">
      <c r="A20" s="139" t="inlineStr">
        <is>
          <t>IR_PE</t>
        </is>
      </c>
      <c r="B20" s="112" t="inlineStr">
        <is>
          <t>Impuesto a la renta, régimen general</t>
        </is>
      </c>
      <c r="C20" s="131" t="inlineStr">
        <is>
          <t>%</t>
        </is>
      </c>
      <c r="D20" s="147" t="n">
        <v>0.295</v>
      </c>
      <c r="E20" s="131" t="inlineStr">
        <is>
          <t>2026</t>
        </is>
      </c>
      <c r="G20" s="141" t="inlineStr">
        <is>
          <t>Bloque «Mi país» de H1, H2 y H3</t>
        </is>
      </c>
      <c r="I20" s="118" t="inlineStr">
        <is>
          <t>Régimen general. Régimen MYPE Tributario: 10% hasta 15 UIT de utilidad (lo usa el caso, H2 y Capital).</t>
        </is>
      </c>
      <c r="J20" s="131" t="inlineStr">
        <is>
          <t>Perú</t>
        </is>
      </c>
      <c r="L20" s="131" t="inlineStr">
        <is>
          <t>Otro (ingresa tus propios datos)</t>
        </is>
      </c>
      <c r="M20" s="147" t="n">
        <v>0.85</v>
      </c>
      <c r="N20" s="133" t="n">
        <v>6.7</v>
      </c>
      <c r="O20" s="131" t="inlineStr">
        <is>
          <t>Genérico: fruta con 85% de agua, secado integral</t>
        </is>
      </c>
      <c r="R20" s="131" t="inlineStr">
        <is>
          <t>T26 · Aéreo internacional Lima–Europa, lotes 50–100 kg</t>
        </is>
      </c>
      <c r="S20" s="134">
        <f>E98</f>
        <v/>
      </c>
      <c r="T20" s="134">
        <f>D98</f>
        <v/>
      </c>
      <c r="U20" s="134">
        <f>F98</f>
        <v/>
      </c>
    </row>
    <row r="21" ht="30" customHeight="1" s="106">
      <c r="A21" s="139" t="inlineStr">
        <is>
          <t>TPM_PE</t>
        </is>
      </c>
      <c r="B21" s="112" t="inlineStr">
        <is>
          <t>Tasa de política monetaria</t>
        </is>
      </c>
      <c r="C21" s="131" t="inlineStr">
        <is>
          <t>% anual</t>
        </is>
      </c>
      <c r="D21" s="148" t="n">
        <v>0.0425</v>
      </c>
      <c r="E21" s="131" t="inlineStr">
        <is>
          <t>sep 2026</t>
        </is>
      </c>
      <c r="G21" s="141" t="inlineStr">
        <is>
          <t>Bloque «Mi país» de H1, H2 y H3</t>
        </is>
      </c>
      <c r="I21" s="118" t="inlineStr">
        <is>
          <t>Tasa de referencia del BCRP (Forbes Perú, 11 sep 2026).</t>
        </is>
      </c>
      <c r="J21" s="131" t="inlineStr">
        <is>
          <t>Perú</t>
        </is>
      </c>
    </row>
    <row r="22" ht="15" customHeight="1" s="106">
      <c r="A22" s="137" t="inlineStr">
        <is>
          <t>Colombia (CO)</t>
        </is>
      </c>
      <c r="B22" s="138" t="n"/>
      <c r="C22" s="138" t="n"/>
      <c r="D22" s="138" t="n"/>
      <c r="E22" s="138" t="n"/>
      <c r="F22" s="138" t="n"/>
      <c r="G22" s="138" t="n"/>
      <c r="H22" s="138" t="n"/>
      <c r="I22" s="138" t="n"/>
      <c r="J22" s="138" t="n"/>
    </row>
    <row r="23" ht="30" customHeight="1" s="106">
      <c r="A23" s="139" t="inlineStr">
        <is>
          <t>TC_COP</t>
        </is>
      </c>
      <c r="B23" s="112" t="inlineStr">
        <is>
          <t>Tipo de cambio de referencia, COP por USD</t>
        </is>
      </c>
      <c r="C23" s="131" t="inlineStr">
        <is>
          <t>COP por USD</t>
        </is>
      </c>
      <c r="D23" s="145" t="n">
        <v>3277</v>
      </c>
      <c r="E23" s="131" t="inlineStr">
        <is>
          <t>30 sep 2026</t>
        </is>
      </c>
      <c r="G23" s="141" t="inlineStr">
        <is>
          <t>Conversión de tarifas citadas en COP (notas de esta hoja); bloque «Mi país»</t>
        </is>
      </c>
      <c r="I23" s="118" t="inlineStr">
        <is>
          <t>TRM del 30 sep 2026: COP 3,277.49 (Infobae Colombia). Antes, supuesto de 4,000.</t>
        </is>
      </c>
      <c r="J23" s="131" t="inlineStr">
        <is>
          <t>Colombia</t>
        </is>
      </c>
      <c r="R23" s="135" t="inlineStr">
        <is>
          <t>Base de la merma (lista H3)</t>
        </is>
      </c>
    </row>
    <row r="24" ht="48" customHeight="1" s="106">
      <c r="A24" s="139" t="inlineStr">
        <is>
          <t>SM_CO</t>
        </is>
      </c>
      <c r="B24" s="112" t="inlineStr">
        <is>
          <t>Salario mínimo mensual, moneda local</t>
        </is>
      </c>
      <c r="C24" s="131" t="inlineStr">
        <is>
          <t>moneda local por mes</t>
        </is>
      </c>
      <c r="D24" s="146" t="n">
        <v>1750905</v>
      </c>
      <c r="E24" s="131" t="inlineStr">
        <is>
          <t>2026</t>
        </is>
      </c>
      <c r="G24" s="141" t="inlineStr">
        <is>
          <t>Bloque «Mi país» de H1, H2 y H3</t>
        </is>
      </c>
      <c r="I24" s="118" t="inlineStr">
        <is>
          <t>SMMLV 2026 (Decreto 1469 de 2025), más auxilio de transporte COP 249,095. Hubo debate en el Consejo de Estado sobre su suspensión: verifica su estado.</t>
        </is>
      </c>
      <c r="J24" s="131" t="inlineStr">
        <is>
          <t>Colombia</t>
        </is>
      </c>
      <c r="R24" s="131" t="inlineStr">
        <is>
          <t>Compra + primera milla + acopio</t>
        </is>
      </c>
    </row>
    <row r="25" ht="30" customHeight="1" s="106">
      <c r="A25" s="139" t="inlineStr">
        <is>
          <t>SM_USD_CO</t>
        </is>
      </c>
      <c r="B25" s="112" t="inlineStr">
        <is>
          <t>Salario mínimo mensual en USD</t>
        </is>
      </c>
      <c r="C25" s="131" t="inlineStr">
        <is>
          <t>USD por mes</t>
        </is>
      </c>
      <c r="D25" s="143">
        <f>IF(OR(SM_CO="",TC_COP=""),"",SM_CO/TC_COP)</f>
        <v/>
      </c>
      <c r="E25" s="131" t="n"/>
      <c r="G25" s="141" t="inlineStr">
        <is>
          <t>Bloque «Mi país» (salario mínimo en USD)</t>
        </is>
      </c>
      <c r="I25" s="118" t="inlineStr">
        <is>
          <t>Fórmula: salario mínimo ÷ tipo de cambio.</t>
        </is>
      </c>
      <c r="J25" s="131" t="inlineStr">
        <is>
          <t>Colombia</t>
        </is>
      </c>
      <c r="R25" s="131" t="inlineStr">
        <is>
          <t>Compra + primera milla</t>
        </is>
      </c>
    </row>
    <row r="26" ht="30" customHeight="1" s="106">
      <c r="A26" s="139" t="inlineStr">
        <is>
          <t>IVA_CO</t>
        </is>
      </c>
      <c r="B26" s="112" t="inlineStr">
        <is>
          <t>IVA / IGV general</t>
        </is>
      </c>
      <c r="C26" s="131" t="inlineStr">
        <is>
          <t>%</t>
        </is>
      </c>
      <c r="D26" s="147" t="n">
        <v>0.19</v>
      </c>
      <c r="E26" s="131" t="inlineStr">
        <is>
          <t>2026</t>
        </is>
      </c>
      <c r="G26" s="141" t="inlineStr">
        <is>
          <t>Bloque «Mi país» de H1, H2 y H3</t>
        </is>
      </c>
      <c r="I26" s="118" t="inlineStr">
        <is>
          <t>IVA general.</t>
        </is>
      </c>
      <c r="J26" s="131" t="inlineStr">
        <is>
          <t>Colombia</t>
        </is>
      </c>
      <c r="R26" s="131" t="inlineStr">
        <is>
          <t>Compra + logística puerta a puerta</t>
        </is>
      </c>
    </row>
    <row r="27" ht="30" customHeight="1" s="106">
      <c r="A27" s="139" t="inlineStr">
        <is>
          <t>IR_CO</t>
        </is>
      </c>
      <c r="B27" s="112" t="inlineStr">
        <is>
          <t>Impuesto a la renta, régimen general</t>
        </is>
      </c>
      <c r="C27" s="131" t="inlineStr">
        <is>
          <t>%</t>
        </is>
      </c>
      <c r="D27" s="147" t="n">
        <v>0.35</v>
      </c>
      <c r="E27" s="131" t="inlineStr">
        <is>
          <t>2026</t>
        </is>
      </c>
      <c r="G27" s="141" t="inlineStr">
        <is>
          <t>Bloque «Mi país» de H1, H2 y H3</t>
        </is>
      </c>
      <c r="I27" s="118" t="inlineStr">
        <is>
          <t>Renta de sociedades, régimen general. Régimen SIMPLE: completar.</t>
        </is>
      </c>
      <c r="J27" s="131" t="inlineStr">
        <is>
          <t>Colombia</t>
        </is>
      </c>
    </row>
    <row r="28" ht="30" customHeight="1" s="106">
      <c r="A28" s="139" t="inlineStr">
        <is>
          <t>TPM_CO</t>
        </is>
      </c>
      <c r="B28" s="112" t="inlineStr">
        <is>
          <t>Tasa de política monetaria</t>
        </is>
      </c>
      <c r="C28" s="131" t="inlineStr">
        <is>
          <t>% anual</t>
        </is>
      </c>
      <c r="D28" s="148" t="n">
        <v>0.1225</v>
      </c>
      <c r="E28" s="131" t="inlineStr">
        <is>
          <t>30 sep 2026</t>
        </is>
      </c>
      <c r="G28" s="141" t="inlineStr">
        <is>
          <t>Bloque «Mi país» de H1, H2 y H3</t>
        </is>
      </c>
      <c r="I28" s="118" t="inlineStr">
        <is>
          <t>Tasa de intervención del Banco de la República.</t>
        </is>
      </c>
      <c r="J28" s="131" t="inlineStr">
        <is>
          <t>Colombia</t>
        </is>
      </c>
      <c r="R28" s="135" t="inlineStr">
        <is>
          <t>Convención de merma (lista H3)</t>
        </is>
      </c>
    </row>
    <row r="29" ht="15" customHeight="1" s="106">
      <c r="A29" s="137" t="inlineStr">
        <is>
          <t>Ecuador (EC)</t>
        </is>
      </c>
      <c r="B29" s="138" t="n"/>
      <c r="C29" s="138" t="n"/>
      <c r="D29" s="138" t="n"/>
      <c r="E29" s="138" t="n"/>
      <c r="F29" s="138" t="n"/>
      <c r="G29" s="138" t="n"/>
      <c r="H29" s="138" t="n"/>
      <c r="I29" s="138" t="n"/>
      <c r="J29" s="138" t="n"/>
      <c r="R29" s="131" t="inlineStr">
        <is>
          <t>Simple (Pasos 01 y 03)</t>
        </is>
      </c>
    </row>
    <row r="30" ht="30" customHeight="1" s="106">
      <c r="A30" s="139" t="inlineStr">
        <is>
          <t>TC_USD_EC</t>
        </is>
      </c>
      <c r="B30" s="112" t="inlineStr">
        <is>
          <t>Tipo de cambio de referencia, USD por USD</t>
        </is>
      </c>
      <c r="C30" s="131" t="inlineStr">
        <is>
          <t>USD por USD</t>
        </is>
      </c>
      <c r="D30" s="149" t="n">
        <v>1</v>
      </c>
      <c r="E30" s="131" t="n"/>
      <c r="G30" s="141" t="inlineStr">
        <is>
          <t>Bloque «Mi país» de H1, H2 y H3</t>
        </is>
      </c>
      <c r="I30" s="118" t="inlineStr">
        <is>
          <t>Economía dolarizada: 1 USD = 1 USD.</t>
        </is>
      </c>
      <c r="J30" s="131" t="inlineStr">
        <is>
          <t>Ecuador</t>
        </is>
      </c>
      <c r="R30" s="131" t="inlineStr">
        <is>
          <t>Sobre biomasa comprada (Paso 05)</t>
        </is>
      </c>
    </row>
    <row r="31" ht="30" customHeight="1" s="106">
      <c r="A31" s="139" t="inlineStr">
        <is>
          <t>SM_EC</t>
        </is>
      </c>
      <c r="B31" s="112" t="inlineStr">
        <is>
          <t>Salario mínimo mensual, moneda local</t>
        </is>
      </c>
      <c r="C31" s="131" t="inlineStr">
        <is>
          <t>moneda local por mes</t>
        </is>
      </c>
      <c r="D31" s="146" t="n">
        <v>482</v>
      </c>
      <c r="E31" s="131" t="inlineStr">
        <is>
          <t>2026</t>
        </is>
      </c>
      <c r="G31" s="141" t="inlineStr">
        <is>
          <t>Bloque «Mi país» de H1, H2 y H3</t>
        </is>
      </c>
      <c r="I31" s="118" t="inlineStr">
        <is>
          <t>Salario básico unificado 2026 (El Diario, 15 dic 2025).</t>
        </is>
      </c>
      <c r="J31" s="131" t="inlineStr">
        <is>
          <t>Ecuador</t>
        </is>
      </c>
    </row>
    <row r="32" ht="30" customHeight="1" s="106">
      <c r="A32" s="139" t="inlineStr">
        <is>
          <t>SM_USD_EC</t>
        </is>
      </c>
      <c r="B32" s="112" t="inlineStr">
        <is>
          <t>Salario mínimo mensual en USD</t>
        </is>
      </c>
      <c r="C32" s="131" t="inlineStr">
        <is>
          <t>USD por mes</t>
        </is>
      </c>
      <c r="D32" s="143">
        <f>IF(OR(SM_EC="",TC_USD_EC=""),"",SM_EC/TC_USD_EC)</f>
        <v/>
      </c>
      <c r="E32" s="131" t="n"/>
      <c r="G32" s="141" t="inlineStr">
        <is>
          <t>Bloque «Mi país» (salario mínimo en USD)</t>
        </is>
      </c>
      <c r="I32" s="118" t="inlineStr">
        <is>
          <t>Fórmula: salario mínimo ÷ tipo de cambio.</t>
        </is>
      </c>
      <c r="J32" s="131" t="inlineStr">
        <is>
          <t>Ecuador</t>
        </is>
      </c>
      <c r="R32" s="135" t="inlineStr">
        <is>
          <t>¿Coinciden? (lista H2)</t>
        </is>
      </c>
    </row>
    <row r="33" ht="30" customHeight="1" s="106">
      <c r="A33" s="139" t="inlineStr">
        <is>
          <t>IVA_EC</t>
        </is>
      </c>
      <c r="B33" s="112" t="inlineStr">
        <is>
          <t>IVA / IGV general</t>
        </is>
      </c>
      <c r="C33" s="131" t="inlineStr">
        <is>
          <t>%</t>
        </is>
      </c>
      <c r="D33" s="147" t="n">
        <v>0.15</v>
      </c>
      <c r="E33" s="131" t="inlineStr">
        <is>
          <t>2026</t>
        </is>
      </c>
      <c r="G33" s="141" t="inlineStr">
        <is>
          <t>Bloque «Mi país» de H1, H2 y H3</t>
        </is>
      </c>
      <c r="I33" s="118" t="inlineStr">
        <is>
          <t>IVA general.</t>
        </is>
      </c>
      <c r="J33" s="131" t="inlineStr">
        <is>
          <t>Ecuador</t>
        </is>
      </c>
      <c r="R33" s="131" t="inlineStr">
        <is>
          <t>Sí</t>
        </is>
      </c>
    </row>
    <row r="34" ht="36" customHeight="1" s="106">
      <c r="A34" s="139" t="inlineStr">
        <is>
          <t>IR_EC</t>
        </is>
      </c>
      <c r="B34" s="112" t="inlineStr">
        <is>
          <t>Impuesto a la renta, régimen general</t>
        </is>
      </c>
      <c r="C34" s="131" t="inlineStr">
        <is>
          <t>%</t>
        </is>
      </c>
      <c r="D34" s="147" t="n"/>
      <c r="E34" s="131" t="n"/>
      <c r="G34" s="141" t="inlineStr">
        <is>
          <t>Bloque «Mi país» de H1, H2 y H3</t>
        </is>
      </c>
      <c r="I34" s="118" t="inlineStr">
        <is>
          <t>Completar: dato sin verificar con fuente primaria (panel/12, Entrega 4, [VERIFICAR]). Referencia: 25%; RIMPE para pymes.</t>
        </is>
      </c>
      <c r="J34" s="131" t="inlineStr">
        <is>
          <t>Ecuador</t>
        </is>
      </c>
      <c r="R34" s="131" t="inlineStr">
        <is>
          <t>Parcial</t>
        </is>
      </c>
    </row>
    <row r="35" ht="30" customHeight="1" s="106">
      <c r="A35" s="139" t="inlineStr">
        <is>
          <t>TPM_EC</t>
        </is>
      </c>
      <c r="B35" s="112" t="inlineStr">
        <is>
          <t>Tasa de política monetaria</t>
        </is>
      </c>
      <c r="C35" s="131" t="inlineStr">
        <is>
          <t>% anual</t>
        </is>
      </c>
      <c r="D35" s="148" t="n"/>
      <c r="E35" s="131" t="n"/>
      <c r="G35" s="141" t="inlineStr">
        <is>
          <t>Bloque «Mi país» de H1, H2 y H3</t>
        </is>
      </c>
      <c r="I35" s="118" t="inlineStr">
        <is>
          <t>No aplica: economía dolarizada, sin tasa de política monetaria propia.</t>
        </is>
      </c>
      <c r="J35" s="131" t="inlineStr">
        <is>
          <t>Ecuador</t>
        </is>
      </c>
      <c r="R35" s="131" t="inlineStr">
        <is>
          <t>No</t>
        </is>
      </c>
    </row>
    <row r="36" ht="15" customHeight="1" s="106">
      <c r="A36" s="137" t="inlineStr">
        <is>
          <t>Bolivia (BO)</t>
        </is>
      </c>
      <c r="B36" s="138" t="n"/>
      <c r="C36" s="138" t="n"/>
      <c r="D36" s="138" t="n"/>
      <c r="E36" s="138" t="n"/>
      <c r="F36" s="138" t="n"/>
      <c r="G36" s="138" t="n"/>
      <c r="H36" s="138" t="n"/>
      <c r="I36" s="138" t="n"/>
      <c r="J36" s="138" t="n"/>
    </row>
    <row r="37" ht="30" customHeight="1" s="106">
      <c r="A37" s="139" t="inlineStr">
        <is>
          <t>TC_BOB</t>
        </is>
      </c>
      <c r="B37" s="112" t="inlineStr">
        <is>
          <t>Tipo de cambio de referencia, BOB por USD</t>
        </is>
      </c>
      <c r="C37" s="131" t="inlineStr">
        <is>
          <t>BOB por USD</t>
        </is>
      </c>
      <c r="D37" s="145" t="n">
        <v>6.96</v>
      </c>
      <c r="E37" s="131" t="inlineStr">
        <is>
          <t>sep 2026</t>
        </is>
      </c>
      <c r="G37" s="141" t="inlineStr">
        <is>
          <t>Bloque «Mi país» de H1, H2 y H3</t>
        </is>
      </c>
      <c r="I37" s="118" t="inlineStr">
        <is>
          <t>Tipo de cambio oficial. Hay mercado paralelo: verifica cuál usarás antes de convertir.</t>
        </is>
      </c>
      <c r="J37" s="131" t="inlineStr">
        <is>
          <t>Bolivia</t>
        </is>
      </c>
      <c r="R37" s="135" t="inlineStr">
        <is>
          <t>Lado del riesgo (lista H2)</t>
        </is>
      </c>
    </row>
    <row r="38" ht="36" customHeight="1" s="106">
      <c r="A38" s="139" t="inlineStr">
        <is>
          <t>SM_BO</t>
        </is>
      </c>
      <c r="B38" s="112" t="inlineStr">
        <is>
          <t>Salario mínimo mensual, moneda local</t>
        </is>
      </c>
      <c r="C38" s="131" t="inlineStr">
        <is>
          <t>moneda local por mes</t>
        </is>
      </c>
      <c r="D38" s="146" t="n"/>
      <c r="E38" s="131" t="n"/>
      <c r="G38" s="141" t="inlineStr">
        <is>
          <t>Bloque «Mi país» de H1, H2 y H3</t>
        </is>
      </c>
      <c r="I38" s="118" t="inlineStr">
        <is>
          <t>Completar: dato sin verificar con fuente primaria (panel/12, Entrega 4, [VERIFICAR]). Salario mínimo nacional 2026.</t>
        </is>
      </c>
      <c r="J38" s="131" t="inlineStr">
        <is>
          <t>Bolivia</t>
        </is>
      </c>
      <c r="R38" s="131" t="inlineStr">
        <is>
          <t>Empresa</t>
        </is>
      </c>
    </row>
    <row r="39" ht="30" customHeight="1" s="106">
      <c r="A39" s="139" t="inlineStr">
        <is>
          <t>SM_USD_BO</t>
        </is>
      </c>
      <c r="B39" s="112" t="inlineStr">
        <is>
          <t>Salario mínimo mensual en USD</t>
        </is>
      </c>
      <c r="C39" s="131" t="inlineStr">
        <is>
          <t>USD por mes</t>
        </is>
      </c>
      <c r="D39" s="143">
        <f>IF(OR(SM_BO="",TC_BOB=""),"",SM_BO/TC_BOB)</f>
        <v/>
      </c>
      <c r="E39" s="131" t="n"/>
      <c r="G39" s="141" t="inlineStr">
        <is>
          <t>Bloque «Mi país» (salario mínimo en USD)</t>
        </is>
      </c>
      <c r="I39" s="118" t="inlineStr">
        <is>
          <t>Fórmula: salario mínimo ÷ tipo de cambio.</t>
        </is>
      </c>
      <c r="J39" s="131" t="inlineStr">
        <is>
          <t>Bolivia</t>
        </is>
      </c>
      <c r="R39" s="131" t="inlineStr">
        <is>
          <t>Territorio</t>
        </is>
      </c>
    </row>
    <row r="40" ht="30" customHeight="1" s="106">
      <c r="A40" s="139" t="inlineStr">
        <is>
          <t>IVA_BO</t>
        </is>
      </c>
      <c r="B40" s="112" t="inlineStr">
        <is>
          <t>IVA / IGV general</t>
        </is>
      </c>
      <c r="C40" s="131" t="inlineStr">
        <is>
          <t>%</t>
        </is>
      </c>
      <c r="D40" s="147" t="n">
        <v>0.13</v>
      </c>
      <c r="E40" s="131" t="inlineStr">
        <is>
          <t>2026</t>
        </is>
      </c>
      <c r="G40" s="141" t="inlineStr">
        <is>
          <t>Bloque «Mi país» de H1, H2 y H3</t>
        </is>
      </c>
      <c r="I40" s="118" t="inlineStr">
        <is>
          <t>IVA general.</t>
        </is>
      </c>
      <c r="J40" s="131" t="inlineStr">
        <is>
          <t>Bolivia</t>
        </is>
      </c>
    </row>
    <row r="41" ht="36" customHeight="1" s="106">
      <c r="A41" s="139" t="inlineStr">
        <is>
          <t>IR_BO</t>
        </is>
      </c>
      <c r="B41" s="112" t="inlineStr">
        <is>
          <t>Impuesto a la renta, régimen general</t>
        </is>
      </c>
      <c r="C41" s="131" t="inlineStr">
        <is>
          <t>%</t>
        </is>
      </c>
      <c r="D41" s="147" t="n"/>
      <c r="E41" s="131" t="n"/>
      <c r="G41" s="141" t="inlineStr">
        <is>
          <t>Bloque «Mi país» de H1, H2 y H3</t>
        </is>
      </c>
      <c r="I41" s="118" t="inlineStr">
        <is>
          <t>Completar: dato sin verificar con fuente primaria (panel/12, Entrega 4, [VERIFICAR]). Referencia: 25% (IUE).</t>
        </is>
      </c>
      <c r="J41" s="131" t="inlineStr">
        <is>
          <t>Bolivia</t>
        </is>
      </c>
    </row>
    <row r="42" ht="30" customHeight="1" s="106">
      <c r="A42" s="139" t="inlineStr">
        <is>
          <t>TPM_BO</t>
        </is>
      </c>
      <c r="B42" s="112" t="inlineStr">
        <is>
          <t>Tasa de política monetaria</t>
        </is>
      </c>
      <c r="C42" s="131" t="inlineStr">
        <is>
          <t>% anual</t>
        </is>
      </c>
      <c r="D42" s="148" t="n"/>
      <c r="E42" s="131" t="n"/>
      <c r="G42" s="141" t="inlineStr">
        <is>
          <t>Bloque «Mi país» de H1, H2 y H3</t>
        </is>
      </c>
      <c r="I42" s="118" t="inlineStr">
        <is>
          <t>Completar: dato sin verificar con fuente primaria (panel/12, Entrega 4, [VERIFICAR]).</t>
        </is>
      </c>
      <c r="J42" s="131" t="inlineStr">
        <is>
          <t>Bolivia</t>
        </is>
      </c>
    </row>
    <row r="43" ht="15" customHeight="1" s="106">
      <c r="A43" s="137" t="inlineStr">
        <is>
          <t>Brasil (BR)</t>
        </is>
      </c>
      <c r="B43" s="138" t="n"/>
      <c r="C43" s="138" t="n"/>
      <c r="D43" s="138" t="n"/>
      <c r="E43" s="138" t="n"/>
      <c r="F43" s="138" t="n"/>
      <c r="G43" s="138" t="n"/>
      <c r="H43" s="138" t="n"/>
      <c r="I43" s="138" t="n"/>
      <c r="J43" s="138" t="n"/>
    </row>
    <row r="44" ht="30" customHeight="1" s="106">
      <c r="A44" s="139" t="inlineStr">
        <is>
          <t>TC_BRL</t>
        </is>
      </c>
      <c r="B44" s="112" t="inlineStr">
        <is>
          <t>Tipo de cambio de referencia, BRL por USD</t>
        </is>
      </c>
      <c r="C44" s="131" t="inlineStr">
        <is>
          <t>BRL por USD</t>
        </is>
      </c>
      <c r="D44" s="145" t="n">
        <v>5.18</v>
      </c>
      <c r="E44" s="131" t="inlineStr">
        <is>
          <t>30 sep 2026</t>
        </is>
      </c>
      <c r="G44" s="141" t="inlineStr">
        <is>
          <t>Conversión de tarifas citadas en R$ (notas de esta hoja); bloque «Mi país»</t>
        </is>
      </c>
      <c r="I44" s="118" t="inlineStr">
        <is>
          <t>Cierre del 30 sep 2026 (Agência Brasil). Antes, supuesto de 5.50.</t>
        </is>
      </c>
      <c r="J44" s="131" t="inlineStr">
        <is>
          <t>Brasil</t>
        </is>
      </c>
    </row>
    <row r="45" ht="30" customHeight="1" s="106">
      <c r="A45" s="139" t="inlineStr">
        <is>
          <t>SM_BR</t>
        </is>
      </c>
      <c r="B45" s="112" t="inlineStr">
        <is>
          <t>Salario mínimo mensual, moneda local</t>
        </is>
      </c>
      <c r="C45" s="131" t="inlineStr">
        <is>
          <t>moneda local por mes</t>
        </is>
      </c>
      <c r="D45" s="146" t="n">
        <v>1621</v>
      </c>
      <c r="E45" s="131" t="inlineStr">
        <is>
          <t>2026</t>
        </is>
      </c>
      <c r="G45" s="141" t="inlineStr">
        <is>
          <t>Bloque «Mi país» de H1, H2 y H3</t>
        </is>
      </c>
      <c r="I45" s="118" t="inlineStr">
        <is>
          <t>Salário mínimo 2026 (Serasa).</t>
        </is>
      </c>
      <c r="J45" s="131" t="inlineStr">
        <is>
          <t>Brasil</t>
        </is>
      </c>
    </row>
    <row r="46" ht="30" customHeight="1" s="106">
      <c r="A46" s="139" t="inlineStr">
        <is>
          <t>SM_USD_BR</t>
        </is>
      </c>
      <c r="B46" s="112" t="inlineStr">
        <is>
          <t>Salario mínimo mensual en USD</t>
        </is>
      </c>
      <c r="C46" s="131" t="inlineStr">
        <is>
          <t>USD por mes</t>
        </is>
      </c>
      <c r="D46" s="143">
        <f>IF(OR(SM_BR="",TC_BRL=""),"",SM_BR/TC_BRL)</f>
        <v/>
      </c>
      <c r="E46" s="131" t="n"/>
      <c r="G46" s="141" t="inlineStr">
        <is>
          <t>Bloque «Mi país» (salario mínimo en USD)</t>
        </is>
      </c>
      <c r="I46" s="118" t="inlineStr">
        <is>
          <t>Fórmula: salario mínimo ÷ tipo de cambio.</t>
        </is>
      </c>
      <c r="J46" s="131" t="inlineStr">
        <is>
          <t>Brasil</t>
        </is>
      </c>
    </row>
    <row r="47" ht="36" customHeight="1" s="106">
      <c r="A47" s="139" t="inlineStr">
        <is>
          <t>IVA_BR</t>
        </is>
      </c>
      <c r="B47" s="112" t="inlineStr">
        <is>
          <t>IVA / IGV general</t>
        </is>
      </c>
      <c r="C47" s="131" t="inlineStr">
        <is>
          <t>%</t>
        </is>
      </c>
      <c r="D47" s="147" t="n"/>
      <c r="E47" s="131" t="n"/>
      <c r="G47" s="141" t="inlineStr">
        <is>
          <t>Bloque «Mi país» de H1, H2 y H3</t>
        </is>
      </c>
      <c r="I47" s="118" t="inlineStr">
        <is>
          <t>Completar: impuestos al consumo en transición (ICMS, PIS/Cofins, IPI → IBS/CBS); no hay una tasa única.</t>
        </is>
      </c>
      <c r="J47" s="131" t="inlineStr">
        <is>
          <t>Brasil</t>
        </is>
      </c>
    </row>
    <row r="48" ht="30" customHeight="1" s="106">
      <c r="A48" s="139" t="inlineStr">
        <is>
          <t>IR_BR</t>
        </is>
      </c>
      <c r="B48" s="112" t="inlineStr">
        <is>
          <t>Impuesto a la renta, régimen general</t>
        </is>
      </c>
      <c r="C48" s="131" t="inlineStr">
        <is>
          <t>%</t>
        </is>
      </c>
      <c r="D48" s="147" t="n"/>
      <c r="E48" s="131" t="n"/>
      <c r="G48" s="141" t="inlineStr">
        <is>
          <t>Bloque «Mi país» de H1, H2 y H3</t>
        </is>
      </c>
      <c r="I48" s="118" t="inlineStr">
        <is>
          <t>Completar: depende del régimen (Simples Nacional, Lucro Presumido, Lucro Real).</t>
        </is>
      </c>
      <c r="J48" s="131" t="inlineStr">
        <is>
          <t>Brasil</t>
        </is>
      </c>
    </row>
    <row r="49" ht="30" customHeight="1" s="106">
      <c r="A49" s="139" t="inlineStr">
        <is>
          <t>TPM_BR</t>
        </is>
      </c>
      <c r="B49" s="112" t="inlineStr">
        <is>
          <t>Tasa de política monetaria</t>
        </is>
      </c>
      <c r="C49" s="131" t="inlineStr">
        <is>
          <t>% anual</t>
        </is>
      </c>
      <c r="D49" s="148" t="n"/>
      <c r="E49" s="131" t="n"/>
      <c r="G49" s="141" t="inlineStr">
        <is>
          <t>Bloque «Mi país» de H1, H2 y H3</t>
        </is>
      </c>
      <c r="I49" s="118" t="inlineStr">
        <is>
          <t>Completar: dato sin verificar con fuente primaria (panel/12, Entrega 4, [VERIFICAR]). Tasa Selic.</t>
        </is>
      </c>
      <c r="J49" s="131" t="inlineStr">
        <is>
          <t>Brasil</t>
        </is>
      </c>
    </row>
    <row r="50" ht="15" customHeight="1" s="106">
      <c r="A50" s="137" t="inlineStr">
        <is>
          <t>México (MX)</t>
        </is>
      </c>
      <c r="B50" s="138" t="n"/>
      <c r="C50" s="138" t="n"/>
      <c r="D50" s="138" t="n"/>
      <c r="E50" s="138" t="n"/>
      <c r="F50" s="138" t="n"/>
      <c r="G50" s="138" t="n"/>
      <c r="H50" s="138" t="n"/>
      <c r="I50" s="138" t="n"/>
      <c r="J50" s="138" t="n"/>
    </row>
    <row r="51" ht="36" customHeight="1" s="106">
      <c r="A51" s="139" t="inlineStr">
        <is>
          <t>TC_MXN</t>
        </is>
      </c>
      <c r="B51" s="112" t="inlineStr">
        <is>
          <t>Tipo de cambio de referencia, MXN por USD</t>
        </is>
      </c>
      <c r="C51" s="131" t="inlineStr">
        <is>
          <t>MXN por USD</t>
        </is>
      </c>
      <c r="D51" s="145" t="n"/>
      <c r="E51" s="131" t="n"/>
      <c r="G51" s="141" t="inlineStr">
        <is>
          <t>Bloque «Mi país» de H1, H2 y H3</t>
        </is>
      </c>
      <c r="I51" s="118" t="inlineStr">
        <is>
          <t>Completar: dato sin verificar con fuente primaria (panel/12, Entrega 4, [VERIFICAR]). Pesos mexicanos por dólar.</t>
        </is>
      </c>
      <c r="J51" s="131" t="inlineStr">
        <is>
          <t>México</t>
        </is>
      </c>
    </row>
    <row r="52" ht="30" customHeight="1" s="106">
      <c r="A52" s="139" t="inlineStr">
        <is>
          <t>SM_MX</t>
        </is>
      </c>
      <c r="B52" s="112" t="inlineStr">
        <is>
          <t>Salario mínimo mensual, moneda local</t>
        </is>
      </c>
      <c r="C52" s="131" t="inlineStr">
        <is>
          <t>moneda local por mes</t>
        </is>
      </c>
      <c r="D52" s="142">
        <f>ROUND(315.04*365/12,0)</f>
        <v/>
      </c>
      <c r="E52" s="131" t="inlineStr">
        <is>
          <t>2026</t>
        </is>
      </c>
      <c r="G52" s="141" t="inlineStr">
        <is>
          <t>Bloque «Mi país» de H1, H2 y H3</t>
        </is>
      </c>
      <c r="I52" s="118" t="inlineStr">
        <is>
          <t>Salario mínimo general 2026: MXN 315.04 diarios (Gobierno de México) × 365 ÷ 12 ≈ MXN 9,582 al mes.</t>
        </is>
      </c>
      <c r="J52" s="131" t="inlineStr">
        <is>
          <t>México</t>
        </is>
      </c>
    </row>
    <row r="53" ht="30" customHeight="1" s="106">
      <c r="A53" s="139" t="inlineStr">
        <is>
          <t>SM_USD_MX</t>
        </is>
      </c>
      <c r="B53" s="112" t="inlineStr">
        <is>
          <t>Salario mínimo mensual en USD</t>
        </is>
      </c>
      <c r="C53" s="131" t="inlineStr">
        <is>
          <t>USD por mes</t>
        </is>
      </c>
      <c r="D53" s="143">
        <f>IF(OR(SM_MX="",TC_MXN=""),"",SM_MX/TC_MXN)</f>
        <v/>
      </c>
      <c r="E53" s="131" t="n"/>
      <c r="G53" s="141" t="inlineStr">
        <is>
          <t>Bloque «Mi país» (salario mínimo en USD)</t>
        </is>
      </c>
      <c r="I53" s="118" t="inlineStr">
        <is>
          <t>Fórmula: salario mínimo ÷ tipo de cambio.</t>
        </is>
      </c>
      <c r="J53" s="131" t="inlineStr">
        <is>
          <t>México</t>
        </is>
      </c>
    </row>
    <row r="54" ht="30" customHeight="1" s="106">
      <c r="A54" s="139" t="inlineStr">
        <is>
          <t>IVA_MX</t>
        </is>
      </c>
      <c r="B54" s="112" t="inlineStr">
        <is>
          <t>IVA / IGV general</t>
        </is>
      </c>
      <c r="C54" s="131" t="inlineStr">
        <is>
          <t>%</t>
        </is>
      </c>
      <c r="D54" s="147" t="n">
        <v>0.16</v>
      </c>
      <c r="E54" s="131" t="inlineStr">
        <is>
          <t>2026</t>
        </is>
      </c>
      <c r="G54" s="141" t="inlineStr">
        <is>
          <t>Bloque «Mi país» de H1, H2 y H3</t>
        </is>
      </c>
      <c r="I54" s="118" t="inlineStr">
        <is>
          <t>IVA general.</t>
        </is>
      </c>
      <c r="J54" s="131" t="inlineStr">
        <is>
          <t>México</t>
        </is>
      </c>
    </row>
    <row r="55" ht="36" customHeight="1" s="106">
      <c r="A55" s="139" t="inlineStr">
        <is>
          <t>IR_MX</t>
        </is>
      </c>
      <c r="B55" s="112" t="inlineStr">
        <is>
          <t>Impuesto a la renta, régimen general</t>
        </is>
      </c>
      <c r="C55" s="131" t="inlineStr">
        <is>
          <t>%</t>
        </is>
      </c>
      <c r="D55" s="147" t="n"/>
      <c r="E55" s="131" t="n"/>
      <c r="G55" s="141" t="inlineStr">
        <is>
          <t>Bloque «Mi país» de H1, H2 y H3</t>
        </is>
      </c>
      <c r="I55" s="118" t="inlineStr">
        <is>
          <t>Completar: dato sin verificar con fuente primaria (panel/12, Entrega 4, [VERIFICAR]). Referencia: 30%; RESICO para pymes.</t>
        </is>
      </c>
      <c r="J55" s="131" t="inlineStr">
        <is>
          <t>México</t>
        </is>
      </c>
    </row>
    <row r="56" ht="36" customHeight="1" s="106">
      <c r="A56" s="139" t="inlineStr">
        <is>
          <t>TPM_MX</t>
        </is>
      </c>
      <c r="B56" s="112" t="inlineStr">
        <is>
          <t>Tasa de política monetaria</t>
        </is>
      </c>
      <c r="C56" s="131" t="inlineStr">
        <is>
          <t>% anual</t>
        </is>
      </c>
      <c r="D56" s="148" t="n"/>
      <c r="E56" s="131" t="n"/>
      <c r="G56" s="141" t="inlineStr">
        <is>
          <t>Bloque «Mi país» de H1, H2 y H3</t>
        </is>
      </c>
      <c r="I56" s="118" t="inlineStr">
        <is>
          <t>Completar: dato sin verificar con fuente primaria (panel/12, Entrega 4, [VERIFICAR]). Tasa objetivo de Banxico.</t>
        </is>
      </c>
      <c r="J56" s="131" t="inlineStr">
        <is>
          <t>México</t>
        </is>
      </c>
    </row>
    <row r="57" ht="15" customHeight="1" s="106">
      <c r="A57" s="137" t="inlineStr">
        <is>
          <t>Otro país (Otro)</t>
        </is>
      </c>
      <c r="B57" s="138" t="n"/>
      <c r="C57" s="138" t="n"/>
      <c r="D57" s="138" t="n"/>
      <c r="E57" s="138" t="n"/>
      <c r="F57" s="138" t="n"/>
      <c r="G57" s="138" t="n"/>
      <c r="H57" s="138" t="n"/>
      <c r="I57" s="138" t="n"/>
      <c r="J57" s="138" t="n"/>
    </row>
    <row r="58" ht="30" customHeight="1" s="106">
      <c r="A58" s="139" t="inlineStr">
        <is>
          <t>TC_OTRO</t>
        </is>
      </c>
      <c r="B58" s="112" t="inlineStr">
        <is>
          <t>Tipo de cambio de referencia, moneda local por USD</t>
        </is>
      </c>
      <c r="C58" s="131" t="inlineStr">
        <is>
          <t>moneda local por USD</t>
        </is>
      </c>
      <c r="D58" s="145" t="n"/>
      <c r="E58" s="131" t="n"/>
      <c r="G58" s="141" t="inlineStr">
        <is>
          <t>Bloque «Mi país» de H1, H2 y H3</t>
        </is>
      </c>
      <c r="I58" s="118" t="inlineStr">
        <is>
          <t>Escribe aquí los datos de tu país (con fecha y fuente).</t>
        </is>
      </c>
      <c r="J58" s="131" t="inlineStr">
        <is>
          <t>Otro país</t>
        </is>
      </c>
    </row>
    <row r="59" ht="30" customHeight="1" s="106">
      <c r="A59" s="139" t="inlineStr">
        <is>
          <t>SM_OTRO</t>
        </is>
      </c>
      <c r="B59" s="112" t="inlineStr">
        <is>
          <t>Salario mínimo mensual, moneda local</t>
        </is>
      </c>
      <c r="C59" s="131" t="inlineStr">
        <is>
          <t>moneda local por mes</t>
        </is>
      </c>
      <c r="D59" s="146" t="n"/>
      <c r="E59" s="131" t="n"/>
      <c r="G59" s="141" t="inlineStr">
        <is>
          <t>Bloque «Mi país» de H1, H2 y H3</t>
        </is>
      </c>
      <c r="I59" s="118" t="inlineStr">
        <is>
          <t>Escribe aquí los datos de tu país (con fecha y fuente).</t>
        </is>
      </c>
      <c r="J59" s="131" t="inlineStr">
        <is>
          <t>Otro país</t>
        </is>
      </c>
    </row>
    <row r="60" ht="30" customHeight="1" s="106">
      <c r="A60" s="139" t="inlineStr">
        <is>
          <t>SM_USD_OTRO</t>
        </is>
      </c>
      <c r="B60" s="112" t="inlineStr">
        <is>
          <t>Salario mínimo mensual en USD</t>
        </is>
      </c>
      <c r="C60" s="131" t="inlineStr">
        <is>
          <t>USD por mes</t>
        </is>
      </c>
      <c r="D60" s="143">
        <f>IF(OR(SM_OTRO="",TC_OTRO=""),"",SM_OTRO/TC_OTRO)</f>
        <v/>
      </c>
      <c r="E60" s="131" t="n"/>
      <c r="G60" s="141" t="inlineStr">
        <is>
          <t>Bloque «Mi país» (salario mínimo en USD)</t>
        </is>
      </c>
      <c r="I60" s="118" t="inlineStr">
        <is>
          <t>Fórmula: salario mínimo ÷ tipo de cambio.</t>
        </is>
      </c>
      <c r="J60" s="131" t="inlineStr">
        <is>
          <t>Otro país</t>
        </is>
      </c>
    </row>
    <row r="61" ht="30" customHeight="1" s="106">
      <c r="A61" s="139" t="inlineStr">
        <is>
          <t>IVA_OTRO</t>
        </is>
      </c>
      <c r="B61" s="112" t="inlineStr">
        <is>
          <t>IVA / IGV general</t>
        </is>
      </c>
      <c r="C61" s="131" t="inlineStr">
        <is>
          <t>%</t>
        </is>
      </c>
      <c r="D61" s="147" t="n"/>
      <c r="E61" s="131" t="n"/>
      <c r="G61" s="141" t="inlineStr">
        <is>
          <t>Bloque «Mi país» de H1, H2 y H3</t>
        </is>
      </c>
      <c r="I61" s="118" t="inlineStr">
        <is>
          <t>Escribe aquí los datos de tu país (con fecha y fuente).</t>
        </is>
      </c>
      <c r="J61" s="131" t="inlineStr">
        <is>
          <t>Otro país</t>
        </is>
      </c>
    </row>
    <row r="62" ht="30" customHeight="1" s="106">
      <c r="A62" s="139" t="inlineStr">
        <is>
          <t>IR_OTRO</t>
        </is>
      </c>
      <c r="B62" s="112" t="inlineStr">
        <is>
          <t>Impuesto a la renta, régimen general</t>
        </is>
      </c>
      <c r="C62" s="131" t="inlineStr">
        <is>
          <t>%</t>
        </is>
      </c>
      <c r="D62" s="147" t="n"/>
      <c r="E62" s="131" t="n"/>
      <c r="G62" s="141" t="inlineStr">
        <is>
          <t>Bloque «Mi país» de H1, H2 y H3</t>
        </is>
      </c>
      <c r="I62" s="118" t="inlineStr">
        <is>
          <t>Escribe aquí los datos de tu país (con fecha y fuente).</t>
        </is>
      </c>
      <c r="J62" s="131" t="inlineStr">
        <is>
          <t>Otro país</t>
        </is>
      </c>
    </row>
    <row r="63" ht="30" customHeight="1" s="106">
      <c r="A63" s="139" t="inlineStr">
        <is>
          <t>TPM_OTRO</t>
        </is>
      </c>
      <c r="B63" s="112" t="inlineStr">
        <is>
          <t>Tasa de política monetaria</t>
        </is>
      </c>
      <c r="C63" s="131" t="inlineStr">
        <is>
          <t>% anual</t>
        </is>
      </c>
      <c r="D63" s="148" t="n"/>
      <c r="E63" s="131" t="n"/>
      <c r="G63" s="141" t="inlineStr">
        <is>
          <t>Bloque «Mi país» de H1, H2 y H3</t>
        </is>
      </c>
      <c r="I63" s="118" t="inlineStr">
        <is>
          <t>Escribe aquí los datos de tu país (con fecha y fuente).</t>
        </is>
      </c>
      <c r="J63" s="131" t="inlineStr">
        <is>
          <t>Otro país</t>
        </is>
      </c>
    </row>
    <row r="64" ht="15" customHeight="1" s="106">
      <c r="A64" s="137" t="inlineStr">
        <is>
          <t>Zona euro (EUR)</t>
        </is>
      </c>
      <c r="B64" s="138" t="n"/>
      <c r="C64" s="138" t="n"/>
      <c r="D64" s="138" t="n"/>
      <c r="E64" s="138" t="n"/>
      <c r="F64" s="138" t="n"/>
      <c r="G64" s="138" t="n"/>
      <c r="H64" s="138" t="n"/>
      <c r="I64" s="138" t="n"/>
      <c r="J64" s="138" t="n"/>
    </row>
    <row r="65" ht="30" customHeight="1" s="106">
      <c r="A65" s="139" t="inlineStr">
        <is>
          <t>TC_EUR</t>
        </is>
      </c>
      <c r="B65" s="112" t="inlineStr">
        <is>
          <t>Tipo de cambio de referencia, dólares por euro</t>
        </is>
      </c>
      <c r="C65" s="131" t="inlineStr">
        <is>
          <t>USD por EUR</t>
        </is>
      </c>
      <c r="D65" s="145" t="n">
        <v>1.1</v>
      </c>
      <c r="E65" s="131" t="inlineStr">
        <is>
          <t>oct 2026</t>
        </is>
      </c>
      <c r="G65" s="141" t="inlineStr">
        <is>
          <t>Certificaciones cotizadas en EUR (UEBT, Ecocert) y Capital (Oikocredit)</t>
        </is>
      </c>
      <c r="I65" s="118" t="inlineStr">
        <is>
          <t>Ojo: va al revés que los demás (USD por cada EUR). Actualízalo.</t>
        </is>
      </c>
      <c r="J65" s="131" t="inlineStr">
        <is>
          <t>Zona euro</t>
        </is>
      </c>
    </row>
    <row r="66" ht="15" customHeight="1" s="106">
      <c r="A66" s="137" t="inlineStr">
        <is>
          <t>Constantes</t>
        </is>
      </c>
      <c r="B66" s="138" t="n"/>
      <c r="C66" s="138" t="n"/>
      <c r="D66" s="138" t="n"/>
      <c r="E66" s="138" t="n"/>
      <c r="F66" s="138" t="n"/>
      <c r="G66" s="138" t="n"/>
      <c r="H66" s="138" t="n"/>
      <c r="I66" s="138" t="n"/>
      <c r="J66" s="138" t="n"/>
    </row>
    <row r="67" ht="30" customHeight="1" s="106">
      <c r="A67" s="139" t="inlineStr">
        <is>
          <t>MESES</t>
        </is>
      </c>
      <c r="B67" s="112" t="inlineStr">
        <is>
          <t>Meses por año</t>
        </is>
      </c>
      <c r="C67" s="131" t="inlineStr">
        <is>
          <t>meses</t>
        </is>
      </c>
      <c r="D67" s="150" t="n">
        <v>12</v>
      </c>
      <c r="E67" s="131" t="n"/>
      <c r="G67" s="141" t="inlineStr">
        <is>
          <t>Resultados anuales (H5, Capital)</t>
        </is>
      </c>
      <c r="I67" s="118" t="inlineStr">
        <is>
          <t>Constante: no la cambies.</t>
        </is>
      </c>
      <c r="J67" s="131" t="inlineStr">
        <is>
          <t>Constantes</t>
        </is>
      </c>
    </row>
    <row r="68" ht="30" customHeight="1" s="106">
      <c r="A68" s="139" t="inlineStr">
        <is>
          <t>KG_POR_T</t>
        </is>
      </c>
      <c r="B68" s="112" t="inlineStr">
        <is>
          <t>Kilogramos por tonelada</t>
        </is>
      </c>
      <c r="C68" s="131" t="inlineStr">
        <is>
          <t>kg por t</t>
        </is>
      </c>
      <c r="D68" s="150" t="n">
        <v>1000</v>
      </c>
      <c r="E68" s="131" t="n"/>
      <c r="G68" s="141" t="inlineStr">
        <is>
          <t>Fruta al año en toneladas (H5)</t>
        </is>
      </c>
      <c r="I68" s="118" t="inlineStr">
        <is>
          <t>Constante: no la cambies.</t>
        </is>
      </c>
      <c r="J68" s="131" t="inlineStr">
        <is>
          <t>Constantes</t>
        </is>
      </c>
    </row>
    <row r="69" ht="55.5" customHeight="1" s="106">
      <c r="A69" s="118" t="inlineStr">
        <is>
          <t>Datos por país: panel/12_Investigacion_LatAm_Minicasos.md, Entrega 4 (cierres de septiembre de 2026); solo los verificados. Las celdas vacías dicen «Completar»: llénalas con fuente y fecha. Para agregar una variable o un país: copia el bloque, escribe los valores y crea el nombre en Fórmulas › Administrador de nombres (por ejemplo, TC_GTQ o IR_GT). Las tarifas de la tabla de abajo que se cotizaron en moneda local (fletes del sacha inchi y del Callao, en S/) se convirtieron en su fuente con S/ 3.75 (2021–2025): son órdenes de magnitud y no se recalculan solas; para actualizarlas, divide el monto en moneda local por el tipo de cambio de este bloque.</t>
        </is>
      </c>
    </row>
    <row r="71" ht="15" customHeight="1" s="106">
      <c r="A71" s="135" t="inlineStr">
        <is>
          <t>id</t>
        </is>
      </c>
      <c r="B71" s="135" t="inlineStr">
        <is>
          <t>nombre</t>
        </is>
      </c>
      <c r="C71" s="135" t="inlineStr">
        <is>
          <t>unidad</t>
        </is>
      </c>
      <c r="D71" s="135" t="inlineStr">
        <is>
          <t>bajo</t>
        </is>
      </c>
      <c r="E71" s="135" t="inlineStr">
        <is>
          <t>típico</t>
        </is>
      </c>
      <c r="F71" s="135" t="inlineStr">
        <is>
          <t>alto</t>
        </is>
      </c>
      <c r="G71" s="135" t="inlineStr">
        <is>
          <t>fuente</t>
        </is>
      </c>
      <c r="H71" s="135" t="inlineStr">
        <is>
          <t>año</t>
        </is>
      </c>
      <c r="I71" s="135" t="inlineStr">
        <is>
          <t>nota</t>
        </is>
      </c>
      <c r="J71" s="135" t="inlineStr">
        <is>
          <t>confiabilidad</t>
        </is>
      </c>
    </row>
    <row r="72" ht="15" customHeight="1" s="106">
      <c r="A72" s="109" t="inlineStr">
        <is>
          <t>TRANSPORTE</t>
        </is>
      </c>
      <c r="B72" s="110" t="n"/>
      <c r="C72" s="110" t="n"/>
      <c r="D72" s="110" t="n"/>
      <c r="E72" s="110" t="n"/>
      <c r="F72" s="110" t="n"/>
      <c r="G72" s="110" t="n"/>
      <c r="H72" s="110" t="n"/>
      <c r="I72" s="110" t="n"/>
      <c r="J72" s="110" t="n"/>
    </row>
    <row r="73" ht="15" customHeight="1" s="106">
      <c r="A73" s="151" t="inlineStr">
        <is>
          <t>T01</t>
        </is>
      </c>
      <c r="B73" s="152" t="inlineStr">
        <is>
          <t>Camión completo San Martín (Tarapoto/Moyobamba)–Lima/Callao, carga agrícola</t>
        </is>
      </c>
      <c r="C73" s="151" t="inlineStr">
        <is>
          <t>USD/kg</t>
        </is>
      </c>
      <c r="D73" s="153" t="n">
        <v>0.03</v>
      </c>
      <c r="E73" s="153" t="n">
        <v>0.08</v>
      </c>
      <c r="F73" s="153" t="n">
        <v>0.16</v>
      </c>
      <c r="G73" s="151" t="inlineStr">
        <is>
          <t>https://www.drasam.gob.pe/public/app/file/complementarios/f81b6c47167c3c03aabe464b500874cb.pdf ; https://cdn.www.gob.pe/uploads/document/file/7051201/6066274-tabla-de-valores-referencial-anexo-i-y-ii-del-proyecto-decreto-supremo.pdf</t>
        </is>
      </c>
      <c r="H73" s="151" t="inlineStr">
        <is>
          <t>2021/2024</t>
        </is>
      </c>
      <c r="I73" s="152" t="inlineStr">
        <is>
          <t>Bajo/típico: DRASAM S/90–330/t (may-2021) ajustado +25%. Alto: valor referencial MTC S/593.88/t (Tarapoto). Convertido con S/ 3.75 en la fuente (ver bloque de variables globales). Distancia real ~1,300–1,400 km, no 1,000.</t>
        </is>
      </c>
      <c r="J73" s="151" t="inlineStr">
        <is>
          <t>Con fuente (ver URL)</t>
        </is>
      </c>
    </row>
    <row r="74" ht="15" customHeight="1" s="106">
      <c r="A74" s="151" t="inlineStr">
        <is>
          <t>T02</t>
        </is>
      </c>
      <c r="B74" s="152" t="inlineStr">
        <is>
          <t>Camión completo Lima–Pucallpa</t>
        </is>
      </c>
      <c r="C74" s="151" t="inlineStr">
        <is>
          <t>USD/kg</t>
        </is>
      </c>
      <c r="D74" s="153" t="n">
        <v>0.04</v>
      </c>
      <c r="E74" s="153" t="n">
        <v>0.06</v>
      </c>
      <c r="F74" s="153" t="n">
        <v>0.08</v>
      </c>
      <c r="G74" s="151" t="inlineStr">
        <is>
          <t>https://cdn.www.gob.pe/uploads/document/file/7051201/6066274-tabla-de-valores-referencial-anexo-i-y-ii-del-proyecto-decreto-supremo.pdf</t>
        </is>
      </c>
      <c r="H74" s="151" t="inlineStr">
        <is>
          <t>2024</t>
        </is>
      </c>
      <c r="I74" s="152" t="inlineStr">
        <is>
          <t>MTC S/290.78/t; bajo/típico estimación BBS por retorno (backhaul).</t>
        </is>
      </c>
      <c r="J74" s="151" t="inlineStr">
        <is>
          <t>Con fuente (ver URL)</t>
        </is>
      </c>
    </row>
    <row r="75" ht="15" customHeight="1" s="106">
      <c r="A75" s="151" t="inlineStr">
        <is>
          <t>T03</t>
        </is>
      </c>
      <c r="B75" s="152" t="inlineStr">
        <is>
          <t>Camión completo Lima–Cusco</t>
        </is>
      </c>
      <c r="C75" s="151" t="inlineStr">
        <is>
          <t>USD/kg</t>
        </is>
      </c>
      <c r="D75" s="153" t="n">
        <v>0.06</v>
      </c>
      <c r="E75" s="153" t="n">
        <v>0.09</v>
      </c>
      <c r="F75" s="153" t="n">
        <v>0.12</v>
      </c>
      <c r="G75" s="151" t="inlineStr">
        <is>
          <t>https://cdn.www.gob.pe/uploads/document/file/7051201/6066274-tabla-de-valores-referencial-anexo-i-y-ii-del-proyecto-decreto-supremo.pdf</t>
        </is>
      </c>
      <c r="H75" s="151" t="inlineStr">
        <is>
          <t>2024</t>
        </is>
      </c>
      <c r="I75" s="152" t="inlineStr">
        <is>
          <t>MTC S/437.40/t (vía Nazca).</t>
        </is>
      </c>
      <c r="J75" s="151" t="inlineStr">
        <is>
          <t>Con fuente (ver URL)</t>
        </is>
      </c>
    </row>
    <row r="76" ht="15" customHeight="1" s="106">
      <c r="A76" s="151" t="inlineStr">
        <is>
          <t>T04</t>
        </is>
      </c>
      <c r="B76" s="152" t="inlineStr">
        <is>
          <t>Camión completo Lima–Arequipa</t>
        </is>
      </c>
      <c r="C76" s="151" t="inlineStr">
        <is>
          <t>USD/kg</t>
        </is>
      </c>
      <c r="D76" s="153" t="n">
        <v>0.04</v>
      </c>
      <c r="E76" s="153" t="n">
        <v>0.06</v>
      </c>
      <c r="F76" s="153" t="n">
        <v>0.08</v>
      </c>
      <c r="G76" s="151" t="inlineStr">
        <is>
          <t>https://cdn.www.gob.pe/uploads/document/file/7051201/6066274-tabla-de-valores-referencial-anexo-i-y-ii-del-proyecto-decreto-supremo.pdf</t>
        </is>
      </c>
      <c r="H76" s="151" t="inlineStr">
        <is>
          <t>2024</t>
        </is>
      </c>
      <c r="I76" s="152" t="inlineStr">
        <is>
          <t>MTC S/292.91/t.</t>
        </is>
      </c>
      <c r="J76" s="151" t="inlineStr">
        <is>
          <t>Con fuente (ver URL)</t>
        </is>
      </c>
    </row>
    <row r="77" ht="15" customHeight="1" s="106">
      <c r="A77" s="151" t="inlineStr">
        <is>
          <t>T05</t>
        </is>
      </c>
      <c r="B77" s="152" t="inlineStr">
        <is>
          <t>Camión completo Lima–Puno/Juliaca</t>
        </is>
      </c>
      <c r="C77" s="151" t="inlineStr">
        <is>
          <t>USD/kg</t>
        </is>
      </c>
      <c r="D77" s="153" t="n">
        <v>0.06</v>
      </c>
      <c r="E77" s="153" t="n">
        <v>0.09</v>
      </c>
      <c r="F77" s="153" t="n">
        <v>0.12</v>
      </c>
      <c r="G77" s="151" t="inlineStr">
        <is>
          <t>https://cdn.www.gob.pe/uploads/document/file/7051201/6066274-tabla-de-valores-referencial-anexo-i-y-ii-del-proyecto-decreto-supremo.pdf</t>
        </is>
      </c>
      <c r="H77" s="151" t="inlineStr">
        <is>
          <t>2024</t>
        </is>
      </c>
      <c r="I77" s="152" t="inlineStr">
        <is>
          <t>MTC S/403–438/t.</t>
        </is>
      </c>
      <c r="J77" s="151" t="inlineStr">
        <is>
          <t>Con fuente (ver URL)</t>
        </is>
      </c>
    </row>
    <row r="78" ht="15" customHeight="1" s="106">
      <c r="A78" s="151" t="inlineStr">
        <is>
          <t>T06</t>
        </is>
      </c>
      <c r="B78" s="152" t="inlineStr">
        <is>
          <t>Camión completo Lima–Puerto Maldonado</t>
        </is>
      </c>
      <c r="C78" s="151" t="inlineStr">
        <is>
          <t>USD/kg</t>
        </is>
      </c>
      <c r="D78" s="153" t="n">
        <v>0.1</v>
      </c>
      <c r="E78" s="153" t="n">
        <v>0.15</v>
      </c>
      <c r="F78" s="153" t="n">
        <v>0.21</v>
      </c>
      <c r="G78" s="151" t="inlineStr">
        <is>
          <t>https://cdn.www.gob.pe/uploads/document/file/7051201/6066274-tabla-de-valores-referencial-anexo-i-y-ii-del-proyecto-decreto-supremo.pdf</t>
        </is>
      </c>
      <c r="H78" s="151" t="inlineStr">
        <is>
          <t>2024</t>
        </is>
      </c>
      <c r="I78" s="152" t="inlineStr">
        <is>
          <t>MTC S/789.47/t.</t>
        </is>
      </c>
      <c r="J78" s="151" t="inlineStr">
        <is>
          <t>Con fuente (ver URL)</t>
        </is>
      </c>
    </row>
    <row r="79" ht="15" customHeight="1" s="106">
      <c r="A79" s="151" t="inlineStr">
        <is>
          <t>T07</t>
        </is>
      </c>
      <c r="B79" s="152" t="inlineStr">
        <is>
          <t>Camión completo Lima–Yurimaguas</t>
        </is>
      </c>
      <c r="C79" s="151" t="inlineStr">
        <is>
          <t>USD/kg</t>
        </is>
      </c>
      <c r="D79" s="153" t="n">
        <v>0.08</v>
      </c>
      <c r="E79" s="153" t="n">
        <v>0.12</v>
      </c>
      <c r="F79" s="153" t="n">
        <v>0.17</v>
      </c>
      <c r="G79" s="151" t="inlineStr">
        <is>
          <t>https://cdn.www.gob.pe/uploads/document/file/7051201/6066274-tabla-de-valores-referencial-anexo-i-y-ii-del-proyecto-decreto-supremo.pdf</t>
        </is>
      </c>
      <c r="H79" s="151" t="inlineStr">
        <is>
          <t>2024</t>
        </is>
      </c>
      <c r="I79" s="152" t="inlineStr">
        <is>
          <t>MTC S/651.42/t.</t>
        </is>
      </c>
      <c r="J79" s="151" t="inlineStr">
        <is>
          <t>Con fuente (ver URL)</t>
        </is>
      </c>
    </row>
    <row r="80" ht="15" customHeight="1" s="106">
      <c r="A80" s="151" t="inlineStr">
        <is>
          <t>T08</t>
        </is>
      </c>
      <c r="B80" s="152" t="inlineStr">
        <is>
          <t>Tarifa camión completo por t-km real, Perú</t>
        </is>
      </c>
      <c r="C80" s="151" t="inlineStr">
        <is>
          <t>USD/t-km</t>
        </is>
      </c>
      <c r="D80" s="153" t="n">
        <v>0.04</v>
      </c>
      <c r="E80" s="153" t="n">
        <v>0.08</v>
      </c>
      <c r="F80" s="153" t="n">
        <v>0.13</v>
      </c>
      <c r="G80" s="151" t="inlineStr">
        <is>
          <t>https://cdn.www.gob.pe/uploads/document/file/7051201/6066274-tabla-de-valores-referencial-anexo-i-y-ii-del-proyecto-decreto-supremo.pdf ; https://www.drasam.gob.pe/public/app/file/complementarios/f81b6c47167c3c03aabe464b500874cb.pdf</t>
        </is>
      </c>
      <c r="H80" s="151" t="inlineStr">
        <is>
          <t>2021/2024</t>
        </is>
      </c>
      <c r="I80" s="152" t="inlineStr">
        <is>
          <t>MTC: S/0.279 por t-km virtual = USD 0.08–0.13 por km real; DRASAM ~USD 0.05.</t>
        </is>
      </c>
      <c r="J80" s="151" t="inlineStr">
        <is>
          <t>Con fuente (ver URL)</t>
        </is>
      </c>
    </row>
    <row r="81" ht="15" customHeight="1" s="106">
      <c r="A81" s="151" t="inlineStr">
        <is>
          <t>T09</t>
        </is>
      </c>
      <c r="B81" s="152" t="inlineStr">
        <is>
          <t>Tarifa camión por t-km, Colombia (SICE-TAC)</t>
        </is>
      </c>
      <c r="C81" s="151" t="inlineStr">
        <is>
          <t>USD/t-km</t>
        </is>
      </c>
      <c r="D81" s="153" t="n">
        <v>0.05</v>
      </c>
      <c r="E81" s="153" t="n">
        <v>0.09</v>
      </c>
      <c r="F81" s="153" t="n">
        <v>0.18</v>
      </c>
      <c r="G81" s="151" t="inlineStr">
        <is>
          <t>https://zarpe.com.co/tarifas</t>
        </is>
      </c>
      <c r="H81" s="151" t="inlineStr">
        <is>
          <t>2026</t>
        </is>
      </c>
      <c r="I81" s="152" t="inlineStr">
        <is>
          <t>COP 194–704/t-km a COP 4,000/USD.</t>
        </is>
      </c>
      <c r="J81" s="151" t="inlineStr">
        <is>
          <t>Con fuente (ver URL)</t>
        </is>
      </c>
    </row>
    <row r="82" ht="15" customHeight="1" s="106">
      <c r="A82" s="151" t="inlineStr">
        <is>
          <t>T10</t>
        </is>
      </c>
      <c r="B82" s="152" t="inlineStr">
        <is>
          <t>Camión completo Ecuador Amazonía (Lago Agrio/Tena)–Guayaquil ~500–600 km</t>
        </is>
      </c>
      <c r="C82" s="151" t="inlineStr">
        <is>
          <t>USD/kg</t>
        </is>
      </c>
      <c r="D82" s="153" t="n">
        <v>0.03</v>
      </c>
      <c r="E82" s="153" t="n">
        <v>0.05</v>
      </c>
      <c r="F82" s="153" t="n">
        <v>0.08</v>
      </c>
      <c r="G82" s="151" t="inlineStr">
        <is>
          <t>estimación BBS</t>
        </is>
      </c>
      <c r="H82" s="151" t="inlineStr">
        <is>
          <t>2026</t>
        </is>
      </c>
      <c r="I82" s="152" t="inlineStr">
        <is>
          <t>t-km × distancia; sin fuente directa.</t>
        </is>
      </c>
      <c r="J82" s="151" t="inlineStr">
        <is>
          <t>Baja (estimación BBS)</t>
        </is>
      </c>
    </row>
    <row r="83" ht="15" customHeight="1" s="106">
      <c r="A83" s="151" t="inlineStr">
        <is>
          <t>T11</t>
        </is>
      </c>
      <c r="B83" s="152" t="inlineStr">
        <is>
          <t>Camión Bolivia Riberalta–Santa Cruz ~1,100–1,400 km</t>
        </is>
      </c>
      <c r="C83" s="151" t="inlineStr">
        <is>
          <t>USD/kg</t>
        </is>
      </c>
      <c r="D83" s="153" t="n">
        <v>0.08</v>
      </c>
      <c r="E83" s="153" t="n">
        <v>0.14</v>
      </c>
      <c r="F83" s="153" t="n">
        <v>0.25</v>
      </c>
      <c r="G83" s="151" t="inlineStr">
        <is>
          <t>estimación BBS</t>
        </is>
      </c>
      <c r="H83" s="151" t="inlineStr">
        <is>
          <t>2026</t>
        </is>
      </c>
      <c r="I83" s="152" t="inlineStr">
        <is>
          <t>Vía con tramos de tierra; cierres en lluvias. Sin fuente directa.</t>
        </is>
      </c>
      <c r="J83" s="151" t="inlineStr">
        <is>
          <t>Baja (estimación BBS)</t>
        </is>
      </c>
    </row>
    <row r="84" ht="15" customHeight="1" s="106">
      <c r="A84" s="151" t="inlineStr">
        <is>
          <t>T12</t>
        </is>
      </c>
      <c r="B84" s="152" t="inlineStr">
        <is>
          <t>Camión Brasil Belém–São Paulo ~2,900 km</t>
        </is>
      </c>
      <c r="C84" s="151" t="inlineStr">
        <is>
          <t>USD/kg</t>
        </is>
      </c>
      <c r="D84" s="153" t="n">
        <v>0.08</v>
      </c>
      <c r="E84" s="153" t="n">
        <v>0.12</v>
      </c>
      <c r="F84" s="153" t="n">
        <v>0.18</v>
      </c>
      <c r="G84" s="151" t="inlineStr">
        <is>
          <t>estimación BBS</t>
        </is>
      </c>
      <c r="H84" s="151" t="inlineStr">
        <is>
          <t>2026</t>
        </is>
      </c>
      <c r="I84" s="152" t="inlineStr">
        <is>
          <t>t-km Brasil USD 0.03–0.06 × 2,900 km. Sin fuente directa.</t>
        </is>
      </c>
      <c r="J84" s="151" t="inlineStr">
        <is>
          <t>Baja (estimación BBS)</t>
        </is>
      </c>
    </row>
    <row r="85" ht="15" customHeight="1" s="106">
      <c r="A85" s="151" t="inlineStr">
        <is>
          <t>T13</t>
        </is>
      </c>
      <c r="B85" s="152" t="inlineStr">
        <is>
          <t>Agencia de carga consolidada Tarapoto–Lima (lotes desde ~200 kg)</t>
        </is>
      </c>
      <c r="C85" s="151" t="inlineStr">
        <is>
          <t>USD/kg</t>
        </is>
      </c>
      <c r="D85" s="153" t="n">
        <v>0.3</v>
      </c>
      <c r="E85" s="153" t="n">
        <v>0.42</v>
      </c>
      <c r="F85" s="153" t="n">
        <v>0.6</v>
      </c>
      <c r="G85" s="151" t="inlineStr">
        <is>
          <t>https://www.scribd.com/document/792859619/Tarifas-Shalom</t>
        </is>
      </c>
      <c r="H85" s="151" t="inlineStr">
        <is>
          <t>2024</t>
        </is>
      </c>
      <c r="I85" s="152" t="inlineStr">
        <is>
          <t>Shalom 2024: S/1.40–1.70/kg (USD 0.37–0.45), entrega en agencia, cobro por kg sin mínimo de toneladas. Marvisur publica S/0.40–0.95/kg en otras rutas. Alto incluye recojo/entrega.</t>
        </is>
      </c>
      <c r="J85" s="151" t="inlineStr">
        <is>
          <t>Con fuente (ver URL)</t>
        </is>
      </c>
    </row>
    <row r="86" ht="15" customHeight="1" s="106">
      <c r="A86" s="151" t="inlineStr">
        <is>
          <t>T14</t>
        </is>
      </c>
      <c r="B86" s="152" t="inlineStr">
        <is>
          <t>Courier puerta a puerta Lima–provincias (&gt;50 kg)</t>
        </is>
      </c>
      <c r="C86" s="151" t="inlineStr">
        <is>
          <t>USD/kg</t>
        </is>
      </c>
      <c r="D86" s="153" t="n">
        <v>1.2</v>
      </c>
      <c r="E86" s="153" t="n">
        <v>1.4</v>
      </c>
      <c r="F86" s="153" t="n">
        <v>1.6</v>
      </c>
      <c r="G86" s="151" t="inlineStr">
        <is>
          <t>https://51pcxp.com/index.php/tarifario/</t>
        </is>
      </c>
      <c r="H86" s="151" t="inlineStr">
        <is>
          <t>2025</t>
        </is>
      </c>
      <c r="I86" s="152" t="inlineStr">
        <is>
          <t>S/4.60–6.00/kg, mínimo S/200–300, +50% zonas alejadas.</t>
        </is>
      </c>
      <c r="J86" s="151" t="inlineStr">
        <is>
          <t>Con fuente (ver URL)</t>
        </is>
      </c>
    </row>
    <row r="87" ht="15" customHeight="1" s="106">
      <c r="A87" s="151" t="inlineStr">
        <is>
          <t>T15</t>
        </is>
      </c>
      <c r="B87" s="152" t="inlineStr">
        <is>
          <t>Fluvial amazónico Iquitos–Yurimaguas/Pucallpa (carga general)</t>
        </is>
      </c>
      <c r="C87" s="151" t="inlineStr">
        <is>
          <t>USD/kg</t>
        </is>
      </c>
      <c r="D87" s="153" t="n">
        <v>0.03</v>
      </c>
      <c r="E87" s="153" t="n">
        <v>0.06</v>
      </c>
      <c r="F87" s="153" t="n">
        <v>0.12</v>
      </c>
      <c r="G87" s="151" t="inlineStr">
        <is>
          <t>estimación BBS</t>
        </is>
      </c>
      <c r="H87" s="151" t="inlineStr">
        <is>
          <t>2026</t>
        </is>
      </c>
      <c r="I87" s="152" t="inlineStr">
        <is>
          <t>Sin tarifa publicada encontrada; 3–7 días. Confirmar con navieras locales.</t>
        </is>
      </c>
      <c r="J87" s="151" t="inlineStr">
        <is>
          <t>Baja (estimación BBS)</t>
        </is>
      </c>
    </row>
    <row r="88" ht="15" customHeight="1" s="106">
      <c r="A88" s="151" t="inlineStr">
        <is>
          <t>T16</t>
        </is>
      </c>
      <c r="B88" s="152" t="inlineStr">
        <is>
          <t>Aéreo doméstico carga general Lima–provincias (300 kg)</t>
        </is>
      </c>
      <c r="C88" s="151" t="inlineStr">
        <is>
          <t>USD/kg</t>
        </is>
      </c>
      <c r="D88" s="153" t="n">
        <v>0.43</v>
      </c>
      <c r="E88" s="153" t="n">
        <v>0.6</v>
      </c>
      <c r="F88" s="153" t="n">
        <v>0.85</v>
      </c>
      <c r="G88" s="151" t="inlineStr">
        <is>
          <t>https://enviotodo.pe/empresas/latam-cargo/</t>
        </is>
      </c>
      <c r="H88" s="151" t="inlineStr">
        <is>
          <t>2025</t>
        </is>
      </c>
      <c r="I88" s="152" t="inlineStr">
        <is>
          <t>LATAM Cargo S/480 (Estándar) a S/800 (Next Flight) por 300 kg.</t>
        </is>
      </c>
      <c r="J88" s="151" t="inlineStr">
        <is>
          <t>Con fuente (ver URL)</t>
        </is>
      </c>
    </row>
    <row r="89" ht="15" customHeight="1" s="106">
      <c r="A89" s="151" t="inlineStr">
        <is>
          <t>T17</t>
        </is>
      </c>
      <c r="B89" s="152" t="inlineStr">
        <is>
          <t>Aéreo Iquitos–Lima courier</t>
        </is>
      </c>
      <c r="C89" s="151" t="inlineStr">
        <is>
          <t>USD/kg</t>
        </is>
      </c>
      <c r="D89" s="153" t="n">
        <v>2</v>
      </c>
      <c r="E89" s="153" t="n">
        <v>3.2</v>
      </c>
      <c r="F89" s="153" t="n">
        <v>3.2</v>
      </c>
      <c r="G89" s="151" t="inlineStr">
        <is>
          <t>https://51pcxp.com/index.php/tarifario/</t>
        </is>
      </c>
      <c r="H89" s="151" t="inlineStr">
        <is>
          <t>2025</t>
        </is>
      </c>
      <c r="I89" s="152" t="inlineStr">
        <is>
          <t>51PCXP S/12/kg, mínimo S/500. Bajo: estimación BBS por volumen.</t>
        </is>
      </c>
      <c r="J89" s="151" t="inlineStr">
        <is>
          <t>Con fuente (ver URL)</t>
        </is>
      </c>
    </row>
    <row r="90" ht="15" customHeight="1" s="106">
      <c r="A90" s="151" t="inlineStr">
        <is>
          <t>T18</t>
        </is>
      </c>
      <c r="B90" s="152" t="inlineStr">
        <is>
          <t>Primera milla: cargador humano</t>
        </is>
      </c>
      <c r="C90" s="151" t="inlineStr">
        <is>
          <t>USD/kg-km</t>
        </is>
      </c>
      <c r="D90" s="153" t="n">
        <v>0.02</v>
      </c>
      <c r="E90" s="153" t="n">
        <v>0.03</v>
      </c>
      <c r="F90" s="153" t="n">
        <v>0.05</v>
      </c>
      <c r="G90" s="151" t="inlineStr">
        <is>
          <t>https://www.drasam.gob.pe/public/app/file/complementarios/f81b6c47167c3c03aabe464b500874cb.pdf (jornal) + estimación BBS</t>
        </is>
      </c>
      <c r="H90" s="151" t="inlineStr">
        <is>
          <t>2021/2026</t>
        </is>
      </c>
      <c r="I90" s="152" t="inlineStr">
        <is>
          <t>Jornal S/34–42.5 (DRASAM 2021); supuesto 70 kg×5 km por día.</t>
        </is>
      </c>
      <c r="J90" s="151" t="inlineStr">
        <is>
          <t>Baja (estimación BBS)</t>
        </is>
      </c>
    </row>
    <row r="91" ht="15" customHeight="1" s="106">
      <c r="A91" s="151" t="inlineStr">
        <is>
          <t>T19</t>
        </is>
      </c>
      <c r="B91" s="152" t="inlineStr">
        <is>
          <t>Primera milla: acémila/mula</t>
        </is>
      </c>
      <c r="C91" s="151" t="inlineStr">
        <is>
          <t>USD/kg-km</t>
        </is>
      </c>
      <c r="D91" s="153" t="n">
        <v>0.005</v>
      </c>
      <c r="E91" s="153" t="n">
        <v>0.01</v>
      </c>
      <c r="F91" s="153" t="n">
        <v>0.02</v>
      </c>
      <c r="G91" s="151" t="inlineStr">
        <is>
          <t>estimación BBS</t>
        </is>
      </c>
      <c r="H91" s="151" t="inlineStr">
        <is>
          <t>2026</t>
        </is>
      </c>
      <c r="I91" s="152" t="inlineStr">
        <is>
          <t>80–100 kg por animal, 15–25 km/día, S/30–60/día.</t>
        </is>
      </c>
      <c r="J91" s="151" t="inlineStr">
        <is>
          <t>Baja (estimación BBS)</t>
        </is>
      </c>
    </row>
    <row r="92" ht="15" customHeight="1" s="106">
      <c r="A92" s="151" t="inlineStr">
        <is>
          <t>T20</t>
        </is>
      </c>
      <c r="B92" s="152" t="inlineStr">
        <is>
          <t>Primera milla: motocarro/camioneta rural</t>
        </is>
      </c>
      <c r="C92" s="151" t="inlineStr">
        <is>
          <t>USD/kg</t>
        </is>
      </c>
      <c r="D92" s="153" t="n">
        <v>0.02</v>
      </c>
      <c r="E92" s="153" t="n">
        <v>0.04</v>
      </c>
      <c r="F92" s="153" t="n">
        <v>0.08</v>
      </c>
      <c r="G92" s="151" t="inlineStr">
        <is>
          <t>estimación BBS</t>
        </is>
      </c>
      <c r="H92" s="151" t="inlineStr">
        <is>
          <t>2026</t>
        </is>
      </c>
      <c r="I92" s="152" t="inlineStr">
        <is>
          <t>Viaje de 10–40 km, 0.3–1 t.</t>
        </is>
      </c>
      <c r="J92" s="151" t="inlineStr">
        <is>
          <t>Baja (estimación BBS)</t>
        </is>
      </c>
    </row>
    <row r="93" ht="15" customHeight="1" s="106">
      <c r="A93" s="151" t="inlineStr">
        <is>
          <t>T21</t>
        </is>
      </c>
      <c r="B93" s="152" t="inlineStr">
        <is>
          <t>Primera milla: bote peque-peque</t>
        </is>
      </c>
      <c r="C93" s="151" t="inlineStr">
        <is>
          <t>USD/kg</t>
        </is>
      </c>
      <c r="D93" s="153" t="n">
        <v>0.01</v>
      </c>
      <c r="E93" s="153" t="n">
        <v>0.04</v>
      </c>
      <c r="F93" s="153" t="n">
        <v>0.1</v>
      </c>
      <c r="G93" s="151" t="inlineStr">
        <is>
          <t>estimación BBS</t>
        </is>
      </c>
      <c r="H93" s="151" t="inlineStr">
        <is>
          <t>2026</t>
        </is>
      </c>
      <c r="I93" s="152" t="inlineStr">
        <is>
          <t>Viaje de 1–6 h; combustible caro en Amazonía.</t>
        </is>
      </c>
      <c r="J93" s="151" t="inlineStr">
        <is>
          <t>Baja (estimación BBS)</t>
        </is>
      </c>
    </row>
    <row r="94" ht="15" customHeight="1" s="106">
      <c r="A94" s="151" t="inlineStr">
        <is>
          <t>T22</t>
        </is>
      </c>
      <c r="B94" s="152" t="inlineStr">
        <is>
          <t>Sobrecosto refrigerado vs seco, carretera</t>
        </is>
      </c>
      <c r="C94" s="151" t="inlineStr">
        <is>
          <t>%</t>
        </is>
      </c>
      <c r="D94" s="153" t="n">
        <v>30</v>
      </c>
      <c r="E94" s="153" t="n">
        <v>50</v>
      </c>
      <c r="F94" s="153" t="n">
        <v>80</v>
      </c>
      <c r="G94" s="151" t="inlineStr">
        <is>
          <t>estimación BBS</t>
        </is>
      </c>
      <c r="H94" s="151" t="inlineStr">
        <is>
          <t>2026</t>
        </is>
      </c>
      <c r="I94" s="152" t="inlineStr">
        <is>
          <t>Unidad reefer + combustible del equipo de frío.</t>
        </is>
      </c>
      <c r="J94" s="151" t="inlineStr">
        <is>
          <t>Baja (estimación BBS)</t>
        </is>
      </c>
    </row>
    <row r="95" ht="15" customHeight="1" s="106">
      <c r="A95" s="151" t="inlineStr">
        <is>
          <t>T23</t>
        </is>
      </c>
      <c r="B95" s="152" t="inlineStr">
        <is>
          <t>Contenedor 40' reefer Callao–Rotterdam</t>
        </is>
      </c>
      <c r="C95" s="151" t="inlineStr">
        <is>
          <t>USD/contenedor</t>
        </is>
      </c>
      <c r="D95" s="153" t="n">
        <v>4500</v>
      </c>
      <c r="E95" s="153" t="n">
        <v>5973</v>
      </c>
      <c r="F95" s="153" t="n">
        <v>8000</v>
      </c>
      <c r="G95" s="151" t="inlineStr">
        <is>
          <t>https://www.agrolatam.com/actualidad-3923/peru-aumento-fletes-maritimos-carga-seca-refrigerada/</t>
        </is>
      </c>
      <c r="H95" s="151" t="inlineStr">
        <is>
          <t>2024</t>
        </is>
      </c>
      <c r="I95" s="152" t="inlineStr">
        <is>
          <t>USD 5,973 jul-2024 (Portal de Rutas Marítimas). ~USD 0.27/kg con 22 t.</t>
        </is>
      </c>
      <c r="J95" s="151" t="inlineStr">
        <is>
          <t>Con fuente (ver URL)</t>
        </is>
      </c>
    </row>
    <row r="96" ht="15" customHeight="1" s="106">
      <c r="A96" s="151" t="inlineStr">
        <is>
          <t>T24</t>
        </is>
      </c>
      <c r="B96" s="152" t="inlineStr">
        <is>
          <t>Contenedor 40' seco Callao–Europa norte</t>
        </is>
      </c>
      <c r="C96" s="151" t="inlineStr">
        <is>
          <t>USD/contenedor</t>
        </is>
      </c>
      <c r="D96" s="153" t="n">
        <v>1500</v>
      </c>
      <c r="E96" s="153" t="n">
        <v>2500</v>
      </c>
      <c r="F96" s="153" t="n">
        <v>4000</v>
      </c>
      <c r="G96" s="151" t="inlineStr">
        <is>
          <t>estimación BBS (ref. https://www.drewry.co.uk/supply-chain-advisors/supply-chain-expertise/world-container-index-assessed-by-drewry)</t>
        </is>
      </c>
      <c r="H96" s="151" t="inlineStr">
        <is>
          <t>2026</t>
        </is>
      </c>
      <c r="I96" s="152" t="inlineStr">
        <is>
          <t>Drewry WCI global ~USD 2,000–3,400/FEU en 2026. ~USD 0.06–0.17/kg.</t>
        </is>
      </c>
      <c r="J96" s="151" t="inlineStr">
        <is>
          <t>Baja (estimación BBS)</t>
        </is>
      </c>
    </row>
    <row r="97" ht="15" customHeight="1" s="106">
      <c r="A97" s="151" t="inlineStr">
        <is>
          <t>T25</t>
        </is>
      </c>
      <c r="B97" s="152" t="inlineStr">
        <is>
          <t>Contenedor 20' seco Callao–Europa norte</t>
        </is>
      </c>
      <c r="C97" s="151" t="inlineStr">
        <is>
          <t>USD/contenedor</t>
        </is>
      </c>
      <c r="D97" s="153" t="n">
        <v>1000</v>
      </c>
      <c r="E97" s="153" t="n">
        <v>1800</v>
      </c>
      <c r="F97" s="153" t="n">
        <v>3000</v>
      </c>
      <c r="G97" s="151" t="inlineStr">
        <is>
          <t>estimación BBS</t>
        </is>
      </c>
      <c r="H97" s="151" t="inlineStr">
        <is>
          <t>2026</t>
        </is>
      </c>
      <c r="I97" s="152" t="inlineStr">
        <is>
          <t>~USD 0.06–0.17/kg con 18 t.</t>
        </is>
      </c>
      <c r="J97" s="151" t="inlineStr">
        <is>
          <t>Baja (estimación BBS)</t>
        </is>
      </c>
    </row>
    <row r="98" ht="15" customHeight="1" s="106">
      <c r="A98" s="151" t="inlineStr">
        <is>
          <t>T26</t>
        </is>
      </c>
      <c r="B98" s="152" t="inlineStr">
        <is>
          <t>Aéreo internacional Lima–Europa, lotes 50–100 kg</t>
        </is>
      </c>
      <c r="C98" s="151" t="inlineStr">
        <is>
          <t>USD/kg</t>
        </is>
      </c>
      <c r="D98" s="153" t="n">
        <v>4.29</v>
      </c>
      <c r="E98" s="153" t="n">
        <v>5.5</v>
      </c>
      <c r="F98" s="153" t="n">
        <v>7.1</v>
      </c>
      <c r="G98" s="151" t="inlineStr">
        <is>
          <t>https://rutasaereas.promperu.gob.pe/ruta/detalle/exportar/2/80</t>
        </is>
      </c>
      <c r="H98" s="151" t="inlineStr">
        <is>
          <t>2025</t>
        </is>
      </c>
      <c r="I98" s="152" t="inlineStr">
        <is>
          <t>USD 4.29–6.50/kg + recargo combustible ~USD 0.60/kg. Lotes grandes: USD 2–4/kg (estimación BBS).</t>
        </is>
      </c>
      <c r="J98" s="151" t="inlineStr">
        <is>
          <t>Con fuente (ver URL)</t>
        </is>
      </c>
    </row>
    <row r="99" ht="15" customHeight="1" s="106">
      <c r="A99" s="151" t="inlineStr">
        <is>
          <t>T27</t>
        </is>
      </c>
      <c r="B99" s="152" t="inlineStr">
        <is>
          <t>Recargo temporada de lluvias en rutas amazónicas/andinas</t>
        </is>
      </c>
      <c r="C99" s="151" t="inlineStr">
        <is>
          <t>%</t>
        </is>
      </c>
      <c r="D99" s="153" t="n">
        <v>10</v>
      </c>
      <c r="E99" s="153" t="n">
        <v>25</v>
      </c>
      <c r="F99" s="153" t="n">
        <v>40</v>
      </c>
      <c r="G99" s="151" t="inlineStr">
        <is>
          <t>estimación BBS</t>
        </is>
      </c>
      <c r="H99" s="151" t="inlineStr">
        <is>
          <t>2026</t>
        </is>
      </c>
      <c r="I99" s="152" t="inlineStr">
        <is>
          <t>El libro usa 20–40%; no se halló fuente. Mantener como supuesto.</t>
        </is>
      </c>
      <c r="J99" s="151" t="inlineStr">
        <is>
          <t>Baja (estimación BBS)</t>
        </is>
      </c>
    </row>
    <row r="100" ht="15" customHeight="1" s="106">
      <c r="A100" s="151" t="inlineStr">
        <is>
          <t>T28</t>
        </is>
      </c>
      <c r="B100" s="152" t="inlineStr">
        <is>
          <t>Manipuleo local Callao/Lima (carga general)</t>
        </is>
      </c>
      <c r="C100" s="151" t="inlineStr">
        <is>
          <t>USD/kg</t>
        </is>
      </c>
      <c r="D100" s="153" t="n">
        <v>0.005</v>
      </c>
      <c r="E100" s="153" t="n">
        <v>0.01</v>
      </c>
      <c r="F100" s="153" t="n">
        <v>0.03</v>
      </c>
      <c r="G100" s="151" t="inlineStr">
        <is>
          <t>https://cdn.www.gob.pe/uploads/document/file/7051201/6066274-tabla-de-valores-referencial-anexo-i-y-ii-del-proyecto-decreto-supremo.pdf</t>
        </is>
      </c>
      <c r="H100" s="151" t="inlineStr">
        <is>
          <t>2024</t>
        </is>
      </c>
      <c r="I100" s="152" t="inlineStr">
        <is>
          <t>Anexo I MTC: S/17–31/t carga general en zonas del Callao/Lima.</t>
        </is>
      </c>
      <c r="J100" s="151" t="inlineStr">
        <is>
          <t>Con fuente (ver URL)</t>
        </is>
      </c>
    </row>
    <row r="102" ht="15" customHeight="1" s="106">
      <c r="A102" s="109" t="inlineStr">
        <is>
          <t>PRODUCTOS Y HUMEDAD</t>
        </is>
      </c>
      <c r="B102" s="110" t="n"/>
      <c r="C102" s="110" t="n"/>
      <c r="D102" s="110" t="n"/>
      <c r="E102" s="110" t="n"/>
      <c r="F102" s="110" t="n"/>
      <c r="G102" s="110" t="n"/>
      <c r="H102" s="110" t="n"/>
      <c r="I102" s="110" t="n"/>
      <c r="J102" s="110" t="n"/>
    </row>
    <row r="103" ht="15" customHeight="1" s="106">
      <c r="A103" s="151" t="inlineStr">
        <is>
          <t>P01</t>
        </is>
      </c>
      <c r="B103" s="152" t="inlineStr">
        <is>
          <t>Camu camu (fruto)</t>
        </is>
      </c>
      <c r="C103" s="151" t="inlineStr">
        <is>
          <t>% humedad</t>
        </is>
      </c>
      <c r="D103" s="153" t="n">
        <v>88</v>
      </c>
      <c r="E103" s="153" t="n">
        <v>92</v>
      </c>
      <c r="F103" s="153" t="n">
        <v>94</v>
      </c>
      <c r="G103" s="151" t="inlineStr">
        <is>
          <t>http://www.scielo.org.pe/pdf/agro/v7n4/a08v7n4.pdf</t>
        </is>
      </c>
      <c r="H103" s="151" t="inlineStr">
        <is>
          <t>2014</t>
        </is>
      </c>
      <c r="I103" s="152" t="inlineStr">
        <is>
          <t>Pulpa 93.2–94.1% agua; pulpa 58% del fruto (50–65%). Fruta entera → polvo deshidratado: 6.7 kg/kg (materia seca 15%). Liofilizado de pulpa pura: 26.8 kg de fruta por kg; con maltodextrina 1:1 ~15–17 kg/kg.</t>
        </is>
      </c>
      <c r="J103" s="151" t="inlineStr">
        <is>
          <t>Con fuente (ver URL)</t>
        </is>
      </c>
    </row>
    <row r="104" ht="15" customHeight="1" s="106">
      <c r="A104" s="151" t="inlineStr">
        <is>
          <t>P02</t>
        </is>
      </c>
      <c r="B104" s="152" t="inlineStr">
        <is>
          <t>Aguaje (Mauritia flexuosa, fruto)</t>
        </is>
      </c>
      <c r="C104" s="151" t="inlineStr">
        <is>
          <t>% humedad</t>
        </is>
      </c>
      <c r="D104" s="153" t="n">
        <v>50</v>
      </c>
      <c r="E104" s="153" t="n">
        <v>60</v>
      </c>
      <c r="F104" s="153" t="n">
        <v>70</v>
      </c>
      <c r="G104" s="151" t="inlineStr">
        <is>
          <t>estimación BBS</t>
        </is>
      </c>
      <c r="H104" s="151" t="inlineStr">
        <is>
          <t>2026</t>
        </is>
      </c>
      <c r="I104" s="152" t="inlineStr">
        <is>
          <t>Pulpa ~15–25% del fruto; aceite de pulpa 15–30% base seca.</t>
        </is>
      </c>
      <c r="J104" s="151" t="inlineStr">
        <is>
          <t>Baja (estimación BBS)</t>
        </is>
      </c>
    </row>
    <row r="105" ht="15" customHeight="1" s="106">
      <c r="A105" s="151" t="inlineStr">
        <is>
          <t>P03</t>
        </is>
      </c>
      <c r="B105" s="152" t="inlineStr">
        <is>
          <t>Açaí (fruto)</t>
        </is>
      </c>
      <c r="C105" s="151" t="inlineStr">
        <is>
          <t>% humedad</t>
        </is>
      </c>
      <c r="D105" s="153" t="n">
        <v>40</v>
      </c>
      <c r="E105" s="153" t="n">
        <v>45</v>
      </c>
      <c r="F105" s="153" t="n">
        <v>55</v>
      </c>
      <c r="G105" s="151" t="inlineStr">
        <is>
          <t>estimación BBS</t>
        </is>
      </c>
      <c r="H105" s="151" t="inlineStr">
        <is>
          <t>2026</t>
        </is>
      </c>
      <c r="I105" s="152" t="inlineStr">
        <is>
          <t>Pulpa/fruto 15–30% según grado; polvo liofilizado ~10–20 kg fruto/kg.</t>
        </is>
      </c>
      <c r="J105" s="151" t="inlineStr">
        <is>
          <t>Baja (estimación BBS)</t>
        </is>
      </c>
    </row>
    <row r="106" ht="15" customHeight="1" s="106">
      <c r="A106" s="151" t="inlineStr">
        <is>
          <t>P04</t>
        </is>
      </c>
      <c r="B106" s="152" t="inlineStr">
        <is>
          <t>Sacha inchi (semilla con cáscara, seca)</t>
        </is>
      </c>
      <c r="C106" s="151" t="inlineStr">
        <is>
          <t>% humedad</t>
        </is>
      </c>
      <c r="D106" s="153" t="n">
        <v>5</v>
      </c>
      <c r="E106" s="153" t="n">
        <v>7</v>
      </c>
      <c r="F106" s="153" t="n">
        <v>10</v>
      </c>
      <c r="G106" s="151" t="inlineStr">
        <is>
          <t>https://www.redalyc.org/journal/4760/476060341007/html/</t>
        </is>
      </c>
      <c r="H106" s="151" t="inlineStr">
        <is>
          <t>2019</t>
        </is>
      </c>
      <c r="I106" s="152" t="inlineStr">
        <is>
          <t>Humedad 6.7%. Almendra 63–70% de la semilla; aceite 33–54% de la almendra.</t>
        </is>
      </c>
      <c r="J106" s="151" t="inlineStr">
        <is>
          <t>Con fuente (ver URL)</t>
        </is>
      </c>
    </row>
    <row r="107" ht="15" customHeight="1" s="106">
      <c r="A107" s="151" t="inlineStr">
        <is>
          <t>P05</t>
        </is>
      </c>
      <c r="B107" s="152" t="inlineStr">
        <is>
          <t>Castaña amazónica (con cáscara, recién recolectada)</t>
        </is>
      </c>
      <c r="C107" s="151" t="inlineStr">
        <is>
          <t>% humedad</t>
        </is>
      </c>
      <c r="D107" s="153" t="n">
        <v>15</v>
      </c>
      <c r="E107" s="153" t="n">
        <v>20</v>
      </c>
      <c r="F107" s="153" t="n">
        <v>30</v>
      </c>
      <c r="G107" s="151" t="inlineStr">
        <is>
          <t>estimación BBS</t>
        </is>
      </c>
      <c r="H107" s="151" t="inlineStr">
        <is>
          <t>2026</t>
        </is>
      </c>
      <c r="I107" s="152" t="inlineStr">
        <is>
          <t>Secar a &lt;6% en almendra; descascarada ~45–50% del peso con cáscara.</t>
        </is>
      </c>
      <c r="J107" s="151" t="inlineStr">
        <is>
          <t>Baja (estimación BBS)</t>
        </is>
      </c>
    </row>
    <row r="108" ht="15" customHeight="1" s="106">
      <c r="A108" s="151" t="inlineStr">
        <is>
          <t>P06</t>
        </is>
      </c>
      <c r="B108" s="152" t="inlineStr">
        <is>
          <t>Cacao (grano fresco en baba → seco)</t>
        </is>
      </c>
      <c r="C108" s="151" t="inlineStr">
        <is>
          <t>% humedad</t>
        </is>
      </c>
      <c r="D108" s="153" t="n">
        <v>50</v>
      </c>
      <c r="E108" s="153" t="n">
        <v>55</v>
      </c>
      <c r="F108" s="153" t="n">
        <v>60</v>
      </c>
      <c r="G108" s="151" t="inlineStr">
        <is>
          <t>estimación BBS</t>
        </is>
      </c>
      <c r="H108" s="151" t="inlineStr">
        <is>
          <t>2026</t>
        </is>
      </c>
      <c r="I108" s="152" t="inlineStr">
        <is>
          <t>Fresco en baba→grano seco 7%: factor 2.5–3.</t>
        </is>
      </c>
      <c r="J108" s="151" t="inlineStr">
        <is>
          <t>Baja (estimación BBS)</t>
        </is>
      </c>
    </row>
    <row r="109" ht="15" customHeight="1" s="106">
      <c r="A109" s="151" t="inlineStr">
        <is>
          <t>P07</t>
        </is>
      </c>
      <c r="B109" s="152" t="inlineStr">
        <is>
          <t>Maca (hipocótilo fresco)</t>
        </is>
      </c>
      <c r="C109" s="151" t="inlineStr">
        <is>
          <t>% humedad</t>
        </is>
      </c>
      <c r="D109" s="153" t="n">
        <v>75</v>
      </c>
      <c r="E109" s="153" t="n">
        <v>80</v>
      </c>
      <c r="F109" s="153" t="n">
        <v>85</v>
      </c>
      <c r="G109" s="151" t="inlineStr">
        <is>
          <t>estimación BBS</t>
        </is>
      </c>
      <c r="H109" s="151" t="inlineStr">
        <is>
          <t>2026</t>
        </is>
      </c>
      <c r="I109" s="152" t="inlineStr">
        <is>
          <t>Fresco→seco ~4–5:1; seco→harina ~1.05:1.</t>
        </is>
      </c>
      <c r="J109" s="151" t="inlineStr">
        <is>
          <t>Baja (estimación BBS)</t>
        </is>
      </c>
    </row>
    <row r="110" ht="15" customHeight="1" s="106">
      <c r="A110" s="151" t="inlineStr">
        <is>
          <t>P08</t>
        </is>
      </c>
      <c r="B110" s="152" t="inlineStr">
        <is>
          <t>Quinua (grano cosechado)</t>
        </is>
      </c>
      <c r="C110" s="151" t="inlineStr">
        <is>
          <t>% humedad</t>
        </is>
      </c>
      <c r="D110" s="153" t="n">
        <v>12</v>
      </c>
      <c r="E110" s="153" t="n">
        <v>14</v>
      </c>
      <c r="F110" s="153" t="n">
        <v>18</v>
      </c>
      <c r="G110" s="151" t="inlineStr">
        <is>
          <t>estimación BBS</t>
        </is>
      </c>
      <c r="H110" s="151" t="inlineStr">
        <is>
          <t>2026</t>
        </is>
      </c>
      <c r="I110" s="152" t="inlineStr">
        <is>
          <t>Densificación casi nula; pérdida por desaponificación/limpieza 5–15%.</t>
        </is>
      </c>
      <c r="J110" s="151" t="inlineStr">
        <is>
          <t>Baja (estimación BBS)</t>
        </is>
      </c>
    </row>
    <row r="111" ht="15" customHeight="1" s="106">
      <c r="A111" s="151" t="inlineStr">
        <is>
          <t>P09</t>
        </is>
      </c>
      <c r="B111" s="152" t="inlineStr">
        <is>
          <t>Aguaymanto (fruto)</t>
        </is>
      </c>
      <c r="C111" s="151" t="inlineStr">
        <is>
          <t>% humedad</t>
        </is>
      </c>
      <c r="D111" s="153" t="n">
        <v>78</v>
      </c>
      <c r="E111" s="153" t="n">
        <v>80</v>
      </c>
      <c r="F111" s="153" t="n">
        <v>85</v>
      </c>
      <c r="G111" s="151" t="inlineStr">
        <is>
          <t>(manuscrito, 3.2) + estimación BBS</t>
        </is>
      </c>
      <c r="H111" s="151" t="inlineStr">
        <is>
          <t>2026</t>
        </is>
      </c>
      <c r="I111" s="152" t="inlineStr">
        <is>
          <t>Fresco→deshidratado (15–20% hum.) ~4–5:1; polvo ~6–7:1.</t>
        </is>
      </c>
      <c r="J111" s="151" t="inlineStr">
        <is>
          <t>Baja (estimación BBS)</t>
        </is>
      </c>
    </row>
    <row r="112" ht="15" customHeight="1" s="106">
      <c r="A112" s="151" t="inlineStr">
        <is>
          <t>P10</t>
        </is>
      </c>
      <c r="B112" s="152" t="inlineStr">
        <is>
          <t>Tara (vaina)</t>
        </is>
      </c>
      <c r="C112" s="151" t="inlineStr">
        <is>
          <t>% humedad</t>
        </is>
      </c>
      <c r="D112" s="153" t="n">
        <v>10</v>
      </c>
      <c r="E112" s="153" t="n">
        <v>12</v>
      </c>
      <c r="F112" s="153" t="n">
        <v>15</v>
      </c>
      <c r="G112" s="151" t="inlineStr">
        <is>
          <t>estimación BBS</t>
        </is>
      </c>
      <c r="H112" s="151" t="inlineStr">
        <is>
          <t>2026</t>
        </is>
      </c>
      <c r="I112" s="152" t="inlineStr">
        <is>
          <t>Polvo de tara ~60–65% de vaina; goma de semilla ~20–25%.</t>
        </is>
      </c>
      <c r="J112" s="151" t="inlineStr">
        <is>
          <t>Baja (estimación BBS)</t>
        </is>
      </c>
    </row>
    <row r="113" ht="15" customHeight="1" s="106">
      <c r="A113" s="151" t="inlineStr">
        <is>
          <t>P11</t>
        </is>
      </c>
      <c r="B113" s="152" t="inlineStr">
        <is>
          <t>Sangre de grado (látex)</t>
        </is>
      </c>
      <c r="C113" s="151" t="inlineStr">
        <is>
          <t>% humedad</t>
        </is>
      </c>
      <c r="D113" s="153" t="n">
        <v>80</v>
      </c>
      <c r="E113" s="153" t="n">
        <v>85</v>
      </c>
      <c r="F113" s="153" t="n">
        <v>90</v>
      </c>
      <c r="G113" s="151" t="inlineStr">
        <is>
          <t>estimación BBS</t>
        </is>
      </c>
      <c r="H113" s="151" t="inlineStr">
        <is>
          <t>2026</t>
        </is>
      </c>
      <c r="I113" s="152" t="inlineStr">
        <is>
          <t>Látex se vende líquido; liofilizado ~6–8:1.</t>
        </is>
      </c>
      <c r="J113" s="151" t="inlineStr">
        <is>
          <t>Baja (estimación BBS)</t>
        </is>
      </c>
    </row>
    <row r="114" ht="15" customHeight="1" s="106">
      <c r="A114" s="151" t="inlineStr">
        <is>
          <t>P12</t>
        </is>
      </c>
      <c r="B114" s="152" t="inlineStr">
        <is>
          <t>Ungurahua (fruto)</t>
        </is>
      </c>
      <c r="C114" s="151" t="inlineStr">
        <is>
          <t>% humedad</t>
        </is>
      </c>
      <c r="D114" s="153" t="n">
        <v>45</v>
      </c>
      <c r="E114" s="153" t="n">
        <v>50</v>
      </c>
      <c r="F114" s="153" t="n">
        <v>60</v>
      </c>
      <c r="G114" s="151" t="inlineStr">
        <is>
          <t>estimación BBS</t>
        </is>
      </c>
      <c r="H114" s="151" t="inlineStr">
        <is>
          <t>2026</t>
        </is>
      </c>
      <c r="I114" s="152" t="inlineStr">
        <is>
          <t>Aceite 10–20% del fruto fresco (prensado de pulpa seca).</t>
        </is>
      </c>
      <c r="J114" s="151" t="inlineStr">
        <is>
          <t>Baja (estimación BBS)</t>
        </is>
      </c>
    </row>
    <row r="115" ht="15" customHeight="1" s="106">
      <c r="A115" s="151" t="inlineStr">
        <is>
          <t>P13</t>
        </is>
      </c>
      <c r="B115" s="152" t="inlineStr">
        <is>
          <t>Copaiba (oleorresina)</t>
        </is>
      </c>
      <c r="C115" s="151" t="inlineStr">
        <is>
          <t>% humedad</t>
        </is>
      </c>
      <c r="D115" s="153" t="n">
        <v>0</v>
      </c>
      <c r="E115" s="153" t="n">
        <v>2</v>
      </c>
      <c r="F115" s="153" t="n">
        <v>5</v>
      </c>
      <c r="G115" s="151" t="inlineStr">
        <is>
          <t>estimación BBS</t>
        </is>
      </c>
      <c r="H115" s="151" t="inlineStr">
        <is>
          <t>2026</t>
        </is>
      </c>
      <c r="I115" s="152" t="inlineStr">
        <is>
          <t>Producto ya denso: factor ~1. Riesgo: adulteración, trazabilidad.</t>
        </is>
      </c>
      <c r="J115" s="151" t="inlineStr">
        <is>
          <t>Baja (estimación BBS)</t>
        </is>
      </c>
    </row>
    <row r="116" ht="15" customHeight="1" s="106">
      <c r="A116" s="151" t="inlineStr">
        <is>
          <t>P14</t>
        </is>
      </c>
      <c r="B116" s="152" t="inlineStr">
        <is>
          <t>Algas marinas pardas (fresca)</t>
        </is>
      </c>
      <c r="C116" s="151" t="inlineStr">
        <is>
          <t>% humedad</t>
        </is>
      </c>
      <c r="D116" s="153" t="n">
        <v>80</v>
      </c>
      <c r="E116" s="153" t="n">
        <v>85</v>
      </c>
      <c r="F116" s="153" t="n">
        <v>90</v>
      </c>
      <c r="G116" s="151" t="inlineStr">
        <is>
          <t>estimación BBS</t>
        </is>
      </c>
      <c r="H116" s="151" t="inlineStr">
        <is>
          <t>2026</t>
        </is>
      </c>
      <c r="I116" s="152" t="inlineStr">
        <is>
          <t>Fresca→seca 5–8:1.</t>
        </is>
      </c>
      <c r="J116" s="151" t="inlineStr">
        <is>
          <t>Baja (estimación BBS)</t>
        </is>
      </c>
    </row>
    <row r="117" ht="15" customHeight="1" s="106">
      <c r="A117" s="151" t="inlineStr">
        <is>
          <t>P15</t>
        </is>
      </c>
      <c r="B117" s="152" t="inlineStr">
        <is>
          <t>Frutas andinas (tumbo, sauco, pitahaya)</t>
        </is>
      </c>
      <c r="C117" s="151" t="inlineStr">
        <is>
          <t>% humedad</t>
        </is>
      </c>
      <c r="D117" s="153" t="n">
        <v>80</v>
      </c>
      <c r="E117" s="153" t="n">
        <v>85</v>
      </c>
      <c r="F117" s="153" t="n">
        <v>90</v>
      </c>
      <c r="G117" s="151" t="inlineStr">
        <is>
          <t>estimación BBS</t>
        </is>
      </c>
      <c r="H117" s="151" t="inlineStr">
        <is>
          <t>2026</t>
        </is>
      </c>
      <c r="I117" s="152" t="inlineStr">
        <is>
          <t>Regla 1/(1−h): 85% → máx. 6.7:1 en polvo integral.</t>
        </is>
      </c>
      <c r="J117" s="151" t="inlineStr">
        <is>
          <t>Baja (estimación BBS)</t>
        </is>
      </c>
    </row>
    <row r="119" ht="15" customHeight="1" s="106">
      <c r="A119" s="109" t="inlineStr">
        <is>
          <t>MERMA</t>
        </is>
      </c>
      <c r="B119" s="110" t="n"/>
      <c r="C119" s="110" t="n"/>
      <c r="D119" s="110" t="n"/>
      <c r="E119" s="110" t="n"/>
      <c r="F119" s="110" t="n"/>
      <c r="G119" s="110" t="n"/>
      <c r="H119" s="110" t="n"/>
      <c r="I119" s="110" t="n"/>
      <c r="J119" s="110" t="n"/>
    </row>
    <row r="120" ht="15" customHeight="1" s="106">
      <c r="A120" s="151" t="inlineStr">
        <is>
          <t>M01</t>
        </is>
      </c>
      <c r="B120" s="152" t="inlineStr">
        <is>
          <t>Fruta fresca amazónica sin frío, 24–72 h</t>
        </is>
      </c>
      <c r="C120" s="151" t="inlineStr">
        <is>
          <t>% del peso</t>
        </is>
      </c>
      <c r="D120" s="153" t="n">
        <v>15</v>
      </c>
      <c r="E120" s="153" t="n">
        <v>30</v>
      </c>
      <c r="F120" s="153" t="n">
        <v>50</v>
      </c>
      <c r="G120" s="151" t="inlineStr">
        <is>
          <t>https://www.redalyc.org/journal/1699/169977731007/html/ + estimación BBS</t>
        </is>
      </c>
      <c r="H120" s="151" t="inlineStr">
        <is>
          <t>2023/2026</t>
        </is>
      </c>
      <c r="I120" s="152" t="inlineStr">
        <is>
          <t>Frutas y hortalizas: grupo con mayor pérdida en Sudamérica. Libro: 40% en 24 h es caso extremo verosímil.</t>
        </is>
      </c>
      <c r="J120" s="151" t="inlineStr">
        <is>
          <t>Baja (estimación BBS)</t>
        </is>
      </c>
    </row>
    <row r="121" ht="15" customHeight="1" s="106">
      <c r="A121" s="151" t="inlineStr">
        <is>
          <t>M02</t>
        </is>
      </c>
      <c r="B121" s="152" t="inlineStr">
        <is>
          <t>Fruta fresca con cadena de frío / congelada en pulpa</t>
        </is>
      </c>
      <c r="C121" s="151" t="inlineStr">
        <is>
          <t>% del peso</t>
        </is>
      </c>
      <c r="D121" s="153" t="n">
        <v>3</v>
      </c>
      <c r="E121" s="153" t="n">
        <v>8</v>
      </c>
      <c r="F121" s="153" t="n">
        <v>15</v>
      </c>
      <c r="G121" s="151" t="inlineStr">
        <is>
          <t>estimación BBS</t>
        </is>
      </c>
      <c r="H121" s="151" t="inlineStr">
        <is>
          <t>2026</t>
        </is>
      </c>
      <c r="I121" s="152" t="inlineStr">
        <is>
          <t>Riesgo: cortes de energía.</t>
        </is>
      </c>
      <c r="J121" s="151" t="inlineStr">
        <is>
          <t>Baja (estimación BBS)</t>
        </is>
      </c>
    </row>
    <row r="122" ht="15" customHeight="1" s="106">
      <c r="A122" s="151" t="inlineStr">
        <is>
          <t>M03</t>
        </is>
      </c>
      <c r="B122" s="152" t="inlineStr">
        <is>
          <t>Granos y semillas oleaginosas secas (&lt;10% humedad)</t>
        </is>
      </c>
      <c r="C122" s="151" t="inlineStr">
        <is>
          <t>% del peso</t>
        </is>
      </c>
      <c r="D122" s="153" t="n">
        <v>2</v>
      </c>
      <c r="E122" s="153" t="n">
        <v>5</v>
      </c>
      <c r="F122" s="153" t="n">
        <v>10</v>
      </c>
      <c r="G122" s="151" t="inlineStr">
        <is>
          <t>https://www.agroperu.pe/america-latina-y-el-caribe-concentra-1-de-cada-5-perdidas-de-alimentos-del-mundo/ + estimación BBS</t>
        </is>
      </c>
      <c r="H122" s="151" t="inlineStr">
        <is>
          <t>2026</t>
        </is>
      </c>
      <c r="I122" s="152" t="inlineStr">
        <is>
          <t>FAO: LAC pierde 11.6% de la producción entre poscosecha y venta (promedio todos los grupos).</t>
        </is>
      </c>
      <c r="J122" s="151" t="inlineStr">
        <is>
          <t>Baja (estimación BBS)</t>
        </is>
      </c>
    </row>
    <row r="123" ht="15" customHeight="1" s="106">
      <c r="A123" s="151" t="inlineStr">
        <is>
          <t>M04</t>
        </is>
      </c>
      <c r="B123" s="152" t="inlineStr">
        <is>
          <t>Granos/semillas húmedas (&gt;14%) en ruta larga o lluvias</t>
        </is>
      </c>
      <c r="C123" s="151" t="inlineStr">
        <is>
          <t>% del peso</t>
        </is>
      </c>
      <c r="D123" s="153" t="n">
        <v>10</v>
      </c>
      <c r="E123" s="153" t="n">
        <v>25</v>
      </c>
      <c r="F123" s="153" t="n">
        <v>70</v>
      </c>
      <c r="G123" s="151" t="inlineStr">
        <is>
          <t>estimación BBS (caso del libro 3.1: 70%)</t>
        </is>
      </c>
      <c r="H123" s="151" t="inlineStr">
        <is>
          <t>2026</t>
        </is>
      </c>
      <c r="I123" s="152" t="inlineStr">
        <is>
          <t>Hongos y aflatoxinas; el libro usa 70% como caso extremo.</t>
        </is>
      </c>
      <c r="J123" s="151" t="inlineStr">
        <is>
          <t>Baja (estimación BBS)</t>
        </is>
      </c>
    </row>
    <row r="124" ht="15" customHeight="1" s="106">
      <c r="A124" s="151" t="inlineStr">
        <is>
          <t>M05</t>
        </is>
      </c>
      <c r="B124" s="152" t="inlineStr">
        <is>
          <t>Raíces y tubérculos frescos (maca)</t>
        </is>
      </c>
      <c r="C124" s="151" t="inlineStr">
        <is>
          <t>% del peso</t>
        </is>
      </c>
      <c r="D124" s="153" t="n">
        <v>5</v>
      </c>
      <c r="E124" s="153" t="n">
        <v>12</v>
      </c>
      <c r="F124" s="153" t="n">
        <v>25</v>
      </c>
      <c r="G124" s="151" t="inlineStr">
        <is>
          <t>estimación BBS</t>
        </is>
      </c>
      <c r="H124" s="151" t="inlineStr">
        <is>
          <t>2026</t>
        </is>
      </c>
      <c r="I124" s="152" t="n"/>
      <c r="J124" s="151" t="inlineStr">
        <is>
          <t>Baja (estimación BBS)</t>
        </is>
      </c>
    </row>
    <row r="125" ht="15" customHeight="1" s="106">
      <c r="A125" s="151" t="inlineStr">
        <is>
          <t>M06</t>
        </is>
      </c>
      <c r="B125" s="152" t="inlineStr">
        <is>
          <t>Productos estabilizados (polvo, aceite envasado)</t>
        </is>
      </c>
      <c r="C125" s="151" t="inlineStr">
        <is>
          <t>% del peso</t>
        </is>
      </c>
      <c r="D125" s="153" t="n">
        <v>0.5</v>
      </c>
      <c r="E125" s="153" t="n">
        <v>1.5</v>
      </c>
      <c r="F125" s="153" t="n">
        <v>3</v>
      </c>
      <c r="G125" s="151" t="inlineStr">
        <is>
          <t>estimación BBS</t>
        </is>
      </c>
      <c r="H125" s="151" t="inlineStr">
        <is>
          <t>2026</t>
        </is>
      </c>
      <c r="I125" s="152" t="inlineStr">
        <is>
          <t>Oxidación de aceites si no hay N2 y envase opaco.</t>
        </is>
      </c>
      <c r="J125" s="151" t="inlineStr">
        <is>
          <t>Baja (estimación BBS)</t>
        </is>
      </c>
    </row>
    <row r="126" ht="15" customHeight="1" s="106">
      <c r="A126" s="151" t="inlineStr">
        <is>
          <t>M07</t>
        </is>
      </c>
      <c r="B126" s="152" t="inlineStr">
        <is>
          <t>Castaña: pérdida de calidad por aflatoxinas</t>
        </is>
      </c>
      <c r="C126" s="151" t="inlineStr">
        <is>
          <t>% del lote</t>
        </is>
      </c>
      <c r="D126" s="153" t="n">
        <v>2</v>
      </c>
      <c r="E126" s="153" t="n">
        <v>5</v>
      </c>
      <c r="F126" s="153" t="n">
        <v>15</v>
      </c>
      <c r="G126" s="151" t="inlineStr">
        <is>
          <t>estimación BBS</t>
        </is>
      </c>
      <c r="H126" s="151" t="inlineStr">
        <is>
          <t>2026</t>
        </is>
      </c>
      <c r="I126" s="152" t="n"/>
      <c r="J126" s="151" t="inlineStr">
        <is>
          <t>Baja (estimación BBS)</t>
        </is>
      </c>
    </row>
    <row r="128" ht="15" customHeight="1" s="106">
      <c r="A128" s="109" t="inlineStr">
        <is>
          <t>DENSIFICACIÓN, ESTABILIZACIÓN Y RENDIMIENTOS</t>
        </is>
      </c>
      <c r="B128" s="110" t="n"/>
      <c r="C128" s="110" t="n"/>
      <c r="D128" s="110" t="n"/>
      <c r="E128" s="110" t="n"/>
      <c r="F128" s="110" t="n"/>
      <c r="G128" s="110" t="n"/>
      <c r="H128" s="110" t="n"/>
      <c r="I128" s="110" t="n"/>
      <c r="J128" s="110" t="n"/>
    </row>
    <row r="129" ht="15" customHeight="1" s="106">
      <c r="A129" s="151" t="inlineStr">
        <is>
          <t>D01</t>
        </is>
      </c>
      <c r="B129" s="152" t="inlineStr">
        <is>
          <t>Secado solar mejorado (OPEX)</t>
        </is>
      </c>
      <c r="C129" s="151" t="inlineStr">
        <is>
          <t>USD/kg agua evaporada</t>
        </is>
      </c>
      <c r="D129" s="153" t="n">
        <v>0.01</v>
      </c>
      <c r="E129" s="153" t="n">
        <v>0.03</v>
      </c>
      <c r="F129" s="153" t="n">
        <v>0.06</v>
      </c>
      <c r="G129" s="151" t="inlineStr">
        <is>
          <t>estimación BBS</t>
        </is>
      </c>
      <c r="H129" s="151" t="inlineStr">
        <is>
          <t>2026</t>
        </is>
      </c>
      <c r="I129" s="152" t="inlineStr">
        <is>
          <t>Mano de obra y mantenimiento; energía gratuita.</t>
        </is>
      </c>
      <c r="J129" s="151" t="inlineStr">
        <is>
          <t>Baja (estimación BBS)</t>
        </is>
      </c>
    </row>
    <row r="130" ht="15" customHeight="1" s="106">
      <c r="A130" s="151" t="inlineStr">
        <is>
          <t>D02</t>
        </is>
      </c>
      <c r="B130" s="152" t="inlineStr">
        <is>
          <t>Secador solar (CAPEX)</t>
        </is>
      </c>
      <c r="C130" s="151" t="inlineStr">
        <is>
          <t>USD/m2</t>
        </is>
      </c>
      <c r="D130" s="153" t="n">
        <v>40</v>
      </c>
      <c r="E130" s="153" t="n">
        <v>60</v>
      </c>
      <c r="F130" s="153" t="n">
        <v>120</v>
      </c>
      <c r="G130" s="151" t="inlineStr">
        <is>
          <t>https://www.redalyc.org/journal/813/81373798003/html/</t>
        </is>
      </c>
      <c r="H130" s="151" t="inlineStr">
        <is>
          <t>2020</t>
        </is>
      </c>
      <c r="I130" s="152" t="inlineStr">
        <is>
          <t>Techo solar activo ~USD 60/m²; secador unifamiliar 30 kg ~USD 2,500.</t>
        </is>
      </c>
      <c r="J130" s="151" t="inlineStr">
        <is>
          <t>Con fuente (ver URL)</t>
        </is>
      </c>
    </row>
    <row r="131" ht="15" customHeight="1" s="106">
      <c r="A131" s="151" t="inlineStr">
        <is>
          <t>D03</t>
        </is>
      </c>
      <c r="B131" s="152" t="inlineStr">
        <is>
          <t>Secador de bandejas a GLP (OPEX energía)</t>
        </is>
      </c>
      <c r="C131" s="151" t="inlineStr">
        <is>
          <t>USD/kg agua evaporada</t>
        </is>
      </c>
      <c r="D131" s="153" t="n">
        <v>0.06</v>
      </c>
      <c r="E131" s="153" t="n">
        <v>0.1</v>
      </c>
      <c r="F131" s="153" t="n">
        <v>0.15</v>
      </c>
      <c r="G131" s="151" t="inlineStr">
        <is>
          <t>estimación BBS (cálculo)</t>
        </is>
      </c>
      <c r="H131" s="151" t="inlineStr">
        <is>
          <t>2026</t>
        </is>
      </c>
      <c r="I131" s="152" t="inlineStr">
        <is>
          <t>2.5–4 MJ/kg agua; GLP 46 MJ/kg a USD 1.1–1.5/kg.</t>
        </is>
      </c>
      <c r="J131" s="151" t="inlineStr">
        <is>
          <t>Baja (estimación BBS)</t>
        </is>
      </c>
    </row>
    <row r="132" ht="15" customHeight="1" s="106">
      <c r="A132" s="151" t="inlineStr">
        <is>
          <t>D04</t>
        </is>
      </c>
      <c r="B132" s="152" t="inlineStr">
        <is>
          <t>Secador eléctrico (OPEX energía)</t>
        </is>
      </c>
      <c r="C132" s="151" t="inlineStr">
        <is>
          <t>USD/kg agua evaporada</t>
        </is>
      </c>
      <c r="D132" s="153" t="n">
        <v>0.12</v>
      </c>
      <c r="E132" s="153" t="n">
        <v>0.22</v>
      </c>
      <c r="F132" s="153" t="n">
        <v>0.35</v>
      </c>
      <c r="G132" s="151" t="inlineStr">
        <is>
          <t>estimación BBS (cálculo)</t>
        </is>
      </c>
      <c r="H132" s="151" t="inlineStr">
        <is>
          <t>2026</t>
        </is>
      </c>
      <c r="I132" s="152" t="inlineStr">
        <is>
          <t>1–1.8 kWh/kg agua a USD 0.12–0.20/kWh.</t>
        </is>
      </c>
      <c r="J132" s="151" t="inlineStr">
        <is>
          <t>Baja (estimación BBS)</t>
        </is>
      </c>
    </row>
    <row r="133" ht="15" customHeight="1" s="106">
      <c r="A133" s="151" t="inlineStr">
        <is>
          <t>D05</t>
        </is>
      </c>
      <c r="B133" s="152" t="inlineStr">
        <is>
          <t>Secador de bandejas 50–200 kg/carga (CAPEX)</t>
        </is>
      </c>
      <c r="C133" s="151" t="inlineStr">
        <is>
          <t>USD</t>
        </is>
      </c>
      <c r="D133" s="153" t="n">
        <v>3000</v>
      </c>
      <c r="E133" s="153" t="n">
        <v>8000</v>
      </c>
      <c r="F133" s="153" t="n">
        <v>20000</v>
      </c>
      <c r="G133" s="151" t="inlineStr">
        <is>
          <t>estimación BBS</t>
        </is>
      </c>
      <c r="H133" s="151" t="inlineStr">
        <is>
          <t>2026</t>
        </is>
      </c>
      <c r="I133" s="152" t="n"/>
      <c r="J133" s="151" t="inlineStr">
        <is>
          <t>Baja (estimación BBS)</t>
        </is>
      </c>
    </row>
    <row r="134" ht="15" customHeight="1" s="106">
      <c r="A134" s="151" t="inlineStr">
        <is>
          <t>D06</t>
        </is>
      </c>
      <c r="B134" s="152" t="inlineStr">
        <is>
          <t>Liofilización a maquila</t>
        </is>
      </c>
      <c r="C134" s="151" t="inlineStr">
        <is>
          <t>USD/kg producto seco</t>
        </is>
      </c>
      <c r="D134" s="153" t="n">
        <v>5</v>
      </c>
      <c r="E134" s="153" t="n">
        <v>10</v>
      </c>
      <c r="F134" s="153" t="n">
        <v>20</v>
      </c>
      <c r="G134" s="151" t="inlineStr">
        <is>
          <t>estimación BBS</t>
        </is>
      </c>
      <c r="H134" s="151" t="inlineStr">
        <is>
          <t>2026</t>
        </is>
      </c>
      <c r="I134" s="152" t="inlineStr">
        <is>
          <t>Muy variable; cotizar. Liofilizadores en Perú: p. ej. Procesadora La Joya.</t>
        </is>
      </c>
      <c r="J134" s="151" t="inlineStr">
        <is>
          <t>Baja (estimación BBS)</t>
        </is>
      </c>
    </row>
    <row r="135" ht="15" customHeight="1" s="106">
      <c r="A135" s="151" t="inlineStr">
        <is>
          <t>D07</t>
        </is>
      </c>
      <c r="B135" s="152" t="inlineStr">
        <is>
          <t>Liofilizador piloto 5–20 kg/carga (CAPEX)</t>
        </is>
      </c>
      <c r="C135" s="151" t="inlineStr">
        <is>
          <t>USD</t>
        </is>
      </c>
      <c r="D135" s="153" t="n">
        <v>15000</v>
      </c>
      <c r="E135" s="153" t="n">
        <v>40000</v>
      </c>
      <c r="F135" s="153" t="n">
        <v>90000</v>
      </c>
      <c r="G135" s="151" t="inlineStr">
        <is>
          <t>estimación BBS</t>
        </is>
      </c>
      <c r="H135" s="151" t="inlineStr">
        <is>
          <t>2026</t>
        </is>
      </c>
      <c r="I135" s="152" t="inlineStr">
        <is>
          <t>Industrial &gt;USD 150,000.</t>
        </is>
      </c>
      <c r="J135" s="151" t="inlineStr">
        <is>
          <t>Baja (estimación BBS)</t>
        </is>
      </c>
    </row>
    <row r="136" ht="15" customHeight="1" s="106">
      <c r="A136" s="151" t="inlineStr">
        <is>
          <t>D08</t>
        </is>
      </c>
      <c r="B136" s="152" t="inlineStr">
        <is>
          <t>Atomización (spray drying) a maquila incl. carrier</t>
        </is>
      </c>
      <c r="C136" s="151" t="inlineStr">
        <is>
          <t>USD/kg polvo</t>
        </is>
      </c>
      <c r="D136" s="153" t="n">
        <v>3</v>
      </c>
      <c r="E136" s="153" t="n">
        <v>6</v>
      </c>
      <c r="F136" s="153" t="n">
        <v>10</v>
      </c>
      <c r="G136" s="151" t="inlineStr">
        <is>
          <t>estimación BBS</t>
        </is>
      </c>
      <c r="H136" s="151" t="inlineStr">
        <is>
          <t>2026</t>
        </is>
      </c>
      <c r="I136" s="152" t="n"/>
      <c r="J136" s="151" t="inlineStr">
        <is>
          <t>Baja (estimación BBS)</t>
        </is>
      </c>
    </row>
    <row r="137" ht="15" customHeight="1" s="106">
      <c r="A137" s="151" t="inlineStr">
        <is>
          <t>D09</t>
        </is>
      </c>
      <c r="B137" s="152" t="inlineStr">
        <is>
          <t>Prensado en frío a maquila</t>
        </is>
      </c>
      <c r="C137" s="151" t="inlineStr">
        <is>
          <t>USD/kg semilla procesada</t>
        </is>
      </c>
      <c r="D137" s="153" t="n">
        <v>0.25</v>
      </c>
      <c r="E137" s="153" t="n">
        <v>0.5</v>
      </c>
      <c r="F137" s="153" t="n">
        <v>1</v>
      </c>
      <c r="G137" s="151" t="inlineStr">
        <is>
          <t>estimación BBS (consistente con manuscrito: USD 1.80/kg aceite)</t>
        </is>
      </c>
      <c r="H137" s="151" t="inlineStr">
        <is>
          <t>2026</t>
        </is>
      </c>
      <c r="I137" s="152" t="n"/>
      <c r="J137" s="151" t="inlineStr">
        <is>
          <t>Baja (estimación BBS)</t>
        </is>
      </c>
    </row>
    <row r="138" ht="15" customHeight="1" s="106">
      <c r="A138" s="151" t="inlineStr">
        <is>
          <t>D10</t>
        </is>
      </c>
      <c r="B138" s="152" t="inlineStr">
        <is>
          <t>Prensa de tornillo 100–200 kg/día con filtro (CAPEX)</t>
        </is>
      </c>
      <c r="C138" s="151" t="inlineStr">
        <is>
          <t>USD</t>
        </is>
      </c>
      <c r="D138" s="153" t="n">
        <v>12000</v>
      </c>
      <c r="E138" s="153" t="n">
        <v>15000</v>
      </c>
      <c r="F138" s="153" t="n">
        <v>18000</v>
      </c>
      <c r="G138" s="151" t="inlineStr">
        <is>
          <t>manuscrito 3.2 (supuesto de autores)</t>
        </is>
      </c>
      <c r="H138" s="151" t="inlineStr">
        <is>
          <t>2026</t>
        </is>
      </c>
      <c r="I138" s="152" t="inlineStr">
        <is>
          <t>Sin verificación externa.</t>
        </is>
      </c>
      <c r="J138" s="151" t="inlineStr">
        <is>
          <t>Media (cálculo o supuesto)</t>
        </is>
      </c>
    </row>
    <row r="139" ht="15" customHeight="1" s="106">
      <c r="A139" s="151" t="inlineStr">
        <is>
          <t>D11</t>
        </is>
      </c>
      <c r="B139" s="152" t="inlineStr">
        <is>
          <t>Congelado + almacenamiento en frío en origen</t>
        </is>
      </c>
      <c r="C139" s="151" t="inlineStr">
        <is>
          <t>USD/kg</t>
        </is>
      </c>
      <c r="D139" s="153" t="n">
        <v>0.2</v>
      </c>
      <c r="E139" s="153" t="n">
        <v>0.4</v>
      </c>
      <c r="F139" s="153" t="n">
        <v>0.6</v>
      </c>
      <c r="G139" s="151" t="inlineStr">
        <is>
          <t>https://www.bcrp.gob.pe/docs/Proyeccion-Institucional/Encuentros-Regionales/2009/Loreto/EER-Loreto-Mario-Pinedo.pdf + estimación BBS</t>
        </is>
      </c>
      <c r="H139" s="151" t="inlineStr">
        <is>
          <t>2009/2026</t>
        </is>
      </c>
      <c r="I139" s="152" t="inlineStr">
        <is>
          <t>Costo de frío USD 0.40/litro pulpa camu camu (2009).</t>
        </is>
      </c>
      <c r="J139" s="151" t="inlineStr">
        <is>
          <t>Baja (estimación BBS)</t>
        </is>
      </c>
    </row>
    <row r="140" ht="15" customHeight="1" s="106">
      <c r="A140" s="151" t="inlineStr">
        <is>
          <t>D12</t>
        </is>
      </c>
      <c r="B140" s="152" t="inlineStr">
        <is>
          <t>Rendimiento sacha inchi: kg almendra por kg aceite (prensa)</t>
        </is>
      </c>
      <c r="C140" s="151" t="inlineStr">
        <is>
          <t>kg/kg</t>
        </is>
      </c>
      <c r="D140" s="153" t="n">
        <v>2.5</v>
      </c>
      <c r="E140" s="153" t="n">
        <v>3</v>
      </c>
      <c r="F140" s="153" t="n">
        <v>3.7</v>
      </c>
      <c r="G140" s="151" t="inlineStr">
        <is>
          <t>https://www.redalyc.org/journal/4760/476060341007/html/</t>
        </is>
      </c>
      <c r="H140" s="151" t="inlineStr">
        <is>
          <t>2019</t>
        </is>
      </c>
      <c r="I140" s="152" t="inlineStr">
        <is>
          <t>Rendimiento prensa 27–40% sobre almendra.</t>
        </is>
      </c>
      <c r="J140" s="151" t="inlineStr">
        <is>
          <t>Con fuente (ver URL)</t>
        </is>
      </c>
    </row>
    <row r="141" ht="15" customHeight="1" s="106">
      <c r="A141" s="151" t="inlineStr">
        <is>
          <t>D13</t>
        </is>
      </c>
      <c r="B141" s="152" t="inlineStr">
        <is>
          <t>Rendimiento sacha inchi: kg semilla con cáscara por kg aceite</t>
        </is>
      </c>
      <c r="C141" s="151" t="inlineStr">
        <is>
          <t>kg/kg</t>
        </is>
      </c>
      <c r="D141" s="153" t="n">
        <v>3.6</v>
      </c>
      <c r="E141" s="153" t="n">
        <v>4.6</v>
      </c>
      <c r="F141" s="153" t="n">
        <v>5.6</v>
      </c>
      <c r="G141" s="151" t="inlineStr">
        <is>
          <t>cálculo BBS con almendra 63–70%</t>
        </is>
      </c>
      <c r="H141" s="151" t="inlineStr">
        <is>
          <t>2026</t>
        </is>
      </c>
      <c r="I141" s="152" t="inlineStr">
        <is>
          <t>El 3.5 del libro corresponde a almendra, no a semilla con cáscara.</t>
        </is>
      </c>
      <c r="J141" s="151" t="inlineStr">
        <is>
          <t>Media (cálculo o supuesto)</t>
        </is>
      </c>
    </row>
    <row r="142" ht="15" customHeight="1" s="106">
      <c r="A142" s="151" t="inlineStr">
        <is>
          <t>D14</t>
        </is>
      </c>
      <c r="B142" s="152" t="inlineStr">
        <is>
          <t>Precio FOB aceite sacha inchi</t>
        </is>
      </c>
      <c r="C142" s="151" t="inlineStr">
        <is>
          <t>USD/kg</t>
        </is>
      </c>
      <c r="D142" s="153" t="n">
        <v>17</v>
      </c>
      <c r="E142" s="153" t="n">
        <v>21</v>
      </c>
      <c r="F142" s="153" t="n">
        <v>26</v>
      </c>
      <c r="G142" s="151" t="inlineStr">
        <is>
          <t>https://cien.adexperu.org.pe/informacion-estrategica/aceite-de-sacha-inchi-potencial-exportador-peruano/ ; https://agraria.pe/noticias/paises-del-asia-son-los-principales-destinos-de-aceite-de-sa-25573</t>
        </is>
      </c>
      <c r="H142" s="151" t="inlineStr">
        <is>
          <t>2016-2020/2025</t>
        </is>
      </c>
      <c r="I142" s="152" t="inlineStr">
        <is>
          <t>FOB USD 17.2–22.3/L (2016–2020) ≈ USD 18.7–24/kg; mayorista EE. UU. USD 23–27.5/kg.</t>
        </is>
      </c>
      <c r="J142" s="151" t="inlineStr">
        <is>
          <t>Con fuente (ver URL)</t>
        </is>
      </c>
    </row>
    <row r="143" ht="15" customHeight="1" s="106">
      <c r="A143" s="151" t="inlineStr">
        <is>
          <t>D15</t>
        </is>
      </c>
      <c r="B143" s="152" t="inlineStr">
        <is>
          <t>Precio semilla/grano sacha inchi (granel, Lima/Callao)</t>
        </is>
      </c>
      <c r="C143" s="151" t="inlineStr">
        <is>
          <t>USD/kg</t>
        </is>
      </c>
      <c r="D143" s="153" t="n">
        <v>1.5</v>
      </c>
      <c r="E143" s="153" t="n">
        <v>2</v>
      </c>
      <c r="F143" s="153" t="n">
        <v>3.5</v>
      </c>
      <c r="G143" s="151" t="inlineStr">
        <is>
          <t>manuscrito + https://www.quiminet.com/productos/semillas-de-sacha-inchi-31350564489/precios.htm</t>
        </is>
      </c>
      <c r="H143" s="151" t="inlineStr">
        <is>
          <t>2025</t>
        </is>
      </c>
      <c r="I143" s="152" t="inlineStr">
        <is>
          <t>Muy volátil (S/0.50 a S/20/kg en chacra entre 2010 y 2025). Baja confiabilidad.</t>
        </is>
      </c>
      <c r="J143" s="151" t="inlineStr">
        <is>
          <t>Media (cálculo o supuesto)</t>
        </is>
      </c>
    </row>
    <row r="145" ht="15" customHeight="1" s="106">
      <c r="A145" s="109" t="inlineStr">
        <is>
          <t>CUMPLIMIENTO Y CERTIFICACIÓN</t>
        </is>
      </c>
      <c r="B145" s="110" t="n"/>
      <c r="C145" s="110" t="n"/>
      <c r="D145" s="110" t="n"/>
      <c r="E145" s="110" t="n"/>
      <c r="F145" s="110" t="n"/>
      <c r="G145" s="110" t="n"/>
      <c r="H145" s="110" t="n"/>
      <c r="I145" s="110" t="n"/>
      <c r="J145" s="110" t="n"/>
    </row>
    <row r="146" ht="15" customHeight="1" s="106">
      <c r="A146" s="151" t="inlineStr">
        <is>
          <t>org_dia_auditor</t>
        </is>
      </c>
      <c r="B146" s="152" t="inlineStr">
        <is>
          <t>Certificación orgánica: día de auditor (Control Union Perú)</t>
        </is>
      </c>
      <c r="C146" s="151" t="inlineStr">
        <is>
          <t>USD/día</t>
        </is>
      </c>
      <c r="D146" s="153" t="n">
        <v>590</v>
      </c>
      <c r="E146" s="153" t="n">
        <v>590</v>
      </c>
      <c r="F146" s="153" t="n">
        <v>590</v>
      </c>
      <c r="G146" s="151" t="inlineStr">
        <is>
          <t>https://peru.controlunion.com/wp-content/uploads/sites/5/2024/12/RTPO.CONTR_.A01-v1.1-12.03.2026.pdf</t>
        </is>
      </c>
      <c r="H146" s="151" t="inlineStr">
        <is>
          <t>2026</t>
        </is>
      </c>
      <c r="I146" s="152" t="inlineStr">
        <is>
          <t>Incluye traslado, auditoría y reporte</t>
        </is>
      </c>
      <c r="J146" s="151" t="inlineStr">
        <is>
          <t>Con fuente (ver URL)</t>
        </is>
      </c>
    </row>
    <row r="147" ht="15" customHeight="1" s="106">
      <c r="A147" s="151" t="inlineStr">
        <is>
          <t>org_admin</t>
        </is>
      </c>
      <c r="B147" s="152" t="inlineStr">
        <is>
          <t>Certificación orgánica: gastos administrativos</t>
        </is>
      </c>
      <c r="C147" s="151" t="inlineStr">
        <is>
          <t>USD/auditoría</t>
        </is>
      </c>
      <c r="D147" s="153" t="n">
        <v>80</v>
      </c>
      <c r="E147" s="153" t="n">
        <v>80</v>
      </c>
      <c r="F147" s="153" t="n">
        <v>80</v>
      </c>
      <c r="G147" s="151" t="inlineStr">
        <is>
          <t>https://peru.controlunion.com/wp-content/uploads/sites/5/2024/12/RTPO.CONTR_.A01-v1.1-12.03.2026.pdf</t>
        </is>
      </c>
      <c r="H147" s="151" t="inlineStr">
        <is>
          <t>2026</t>
        </is>
      </c>
      <c r="I147" s="152" t="n"/>
      <c r="J147" s="151" t="inlineStr">
        <is>
          <t>Con fuente (ver URL)</t>
        </is>
      </c>
    </row>
    <row r="148" ht="15" customHeight="1" s="106">
      <c r="A148" s="151" t="inlineStr">
        <is>
          <t>org_decision_grupo</t>
        </is>
      </c>
      <c r="B148" s="152" t="inlineStr">
        <is>
          <t>Certificación orgánica: revisión y decisión, grupo SIC</t>
        </is>
      </c>
      <c r="C148" s="151" t="inlineStr">
        <is>
          <t>USD</t>
        </is>
      </c>
      <c r="D148" s="153" t="n">
        <v>600</v>
      </c>
      <c r="E148" s="153" t="n">
        <v>650</v>
      </c>
      <c r="F148" s="153" t="n">
        <v>700</v>
      </c>
      <c r="G148" s="151" t="inlineStr">
        <is>
          <t>https://peru.controlunion.com/wp-content/uploads/sites/5/2024/12/RTPO.CONTR_.A01-v1.1-12.03.2026.pdf</t>
        </is>
      </c>
      <c r="H148" s="151" t="inlineStr">
        <is>
          <t>2026</t>
        </is>
      </c>
      <c r="I148" s="152" t="inlineStr">
        <is>
          <t>+USD 50 por norma adicional (UE, NOP)</t>
        </is>
      </c>
      <c r="J148" s="151" t="inlineStr">
        <is>
          <t>Con fuente (ver URL)</t>
        </is>
      </c>
    </row>
    <row r="149" ht="15" customHeight="1" s="106">
      <c r="A149" s="151" t="inlineStr">
        <is>
          <t>org_residuos</t>
        </is>
      </c>
      <c r="B149" s="152" t="inlineStr">
        <is>
          <t>Análisis de residuos del certificador</t>
        </is>
      </c>
      <c r="C149" s="151" t="inlineStr">
        <is>
          <t>USD/muestra</t>
        </is>
      </c>
      <c r="D149" s="153" t="n">
        <v>180</v>
      </c>
      <c r="E149" s="153" t="n">
        <v>180</v>
      </c>
      <c r="F149" s="153" t="n">
        <v>360</v>
      </c>
      <c r="G149" s="151" t="inlineStr">
        <is>
          <t>https://peru.controlunion.com/wp-content/uploads/sites/5/2024/12/RTPO.CONTR_.A01-v1.1-12.03.2026.pdf</t>
        </is>
      </c>
      <c r="H149" s="151" t="inlineStr">
        <is>
          <t>2026</t>
        </is>
      </c>
      <c r="I149" s="152" t="n"/>
      <c r="J149" s="151" t="inlineStr">
        <is>
          <t>Con fuente (ver URL)</t>
        </is>
      </c>
    </row>
    <row r="150" ht="15" customHeight="1" s="106">
      <c r="A150" s="151" t="inlineStr">
        <is>
          <t>org_tc</t>
        </is>
      </c>
      <c r="B150" s="152" t="inlineStr">
        <is>
          <t>Certificado de transacción COI-UE / NOP</t>
        </is>
      </c>
      <c r="C150" s="151" t="inlineStr">
        <is>
          <t>USD/embarque</t>
        </is>
      </c>
      <c r="D150" s="153" t="n">
        <v>60</v>
      </c>
      <c r="E150" s="153" t="n">
        <v>60</v>
      </c>
      <c r="F150" s="153" t="n">
        <v>140</v>
      </c>
      <c r="G150" s="151" t="inlineStr">
        <is>
          <t>https://peru.controlunion.com/wp-content/uploads/sites/5/2024/12/RTPO.CONTR_.A01-v1.1-12.03.2026.pdf</t>
        </is>
      </c>
      <c r="H150" s="151" t="inlineStr">
        <is>
          <t>2026</t>
        </is>
      </c>
      <c r="I150" s="152" t="n"/>
      <c r="J150" s="151" t="inlineStr">
        <is>
          <t>Con fuente (ver URL)</t>
        </is>
      </c>
    </row>
    <row r="151" ht="15" customHeight="1" s="106">
      <c r="A151" s="151" t="inlineStr">
        <is>
          <t>org_anual_grupo</t>
        </is>
      </c>
      <c r="B151" s="152" t="inlineStr">
        <is>
          <t>Certificación orgánica anual, asociación pequeña con SIC (UE+NOP)</t>
        </is>
      </c>
      <c r="C151" s="151" t="inlineStr">
        <is>
          <t>USD/año</t>
        </is>
      </c>
      <c r="D151" s="153" t="n">
        <v>3000</v>
      </c>
      <c r="E151" s="153" t="n">
        <v>4500</v>
      </c>
      <c r="F151" s="153" t="n">
        <v>7000</v>
      </c>
      <c r="G151" s="151" t="inlineStr">
        <is>
          <t>https://peru.controlunion.com/wp-content/uploads/sites/5/2024/12/RTPO.CONTR_.A01-v1.1-12.03.2026.pdf</t>
        </is>
      </c>
      <c r="H151" s="151" t="inlineStr">
        <is>
          <t>2026</t>
        </is>
      </c>
      <c r="I151" s="152" t="inlineStr">
        <is>
          <t>Derivado: 4-6 días-auditor + admin + decisión + residuos + TC; estimación BBS</t>
        </is>
      </c>
      <c r="J151" s="151" t="inlineStr">
        <is>
          <t>Con fuente (ver URL)</t>
        </is>
      </c>
    </row>
    <row r="152" ht="15" customHeight="1" s="106">
      <c r="A152" s="151" t="inlineStr">
        <is>
          <t>org_anual_grande</t>
        </is>
      </c>
      <c r="B152" s="152" t="inlineStr">
        <is>
          <t>Certificación orgánica anual, operación grande</t>
        </is>
      </c>
      <c r="C152" s="151" t="inlineStr">
        <is>
          <t>USD/año</t>
        </is>
      </c>
      <c r="D152" s="153" t="n">
        <v>8000</v>
      </c>
      <c r="E152" s="153" t="n">
        <v>10000</v>
      </c>
      <c r="F152" s="153" t="n">
        <v>12000</v>
      </c>
      <c r="G152" s="151" t="inlineStr">
        <is>
          <t>https://huambar.lamula.pe/2019/06/15/certificacion-organica-a-traves-del-sgp-beneficiara-a-los-pequenos-agricultores/guidochati1/</t>
        </is>
      </c>
      <c r="H152" s="151" t="inlineStr">
        <is>
          <t>2019</t>
        </is>
      </c>
      <c r="I152" s="152" t="n"/>
      <c r="J152" s="151" t="inlineStr">
        <is>
          <t>Con fuente (ver URL)</t>
        </is>
      </c>
    </row>
    <row r="153" ht="15" customHeight="1" s="106">
      <c r="A153" s="151" t="inlineStr">
        <is>
          <t>org_sic_interno</t>
        </is>
      </c>
      <c r="B153" s="152" t="inlineStr">
        <is>
          <t>Costo interno del Sistema Interno de Control</t>
        </is>
      </c>
      <c r="C153" s="151" t="inlineStr">
        <is>
          <t>USD/año</t>
        </is>
      </c>
      <c r="D153" s="153" t="n">
        <v>2000</v>
      </c>
      <c r="E153" s="153" t="n">
        <v>4000</v>
      </c>
      <c r="F153" s="153" t="n">
        <v>8000</v>
      </c>
      <c r="G153" s="151" t="inlineStr">
        <is>
          <t>estimación BBS</t>
        </is>
      </c>
      <c r="H153" s="151" t="inlineStr">
        <is>
          <t>2026</t>
        </is>
      </c>
      <c r="I153" s="152" t="n"/>
      <c r="J153" s="151" t="inlineStr">
        <is>
          <t>Baja (estimación BBS)</t>
        </is>
      </c>
    </row>
    <row r="154" ht="15" customHeight="1" s="106">
      <c r="A154" s="151" t="inlineStr">
        <is>
          <t>flocert_solicitud</t>
        </is>
      </c>
      <c r="B154" s="152" t="inlineStr">
        <is>
          <t>FLOCERT: cuota de solicitud</t>
        </is>
      </c>
      <c r="C154" s="151" t="inlineStr">
        <is>
          <t>EUR</t>
        </is>
      </c>
      <c r="D154" s="153" t="n">
        <v>597</v>
      </c>
      <c r="E154" s="153" t="n">
        <v>597</v>
      </c>
      <c r="F154" s="153" t="n">
        <v>597</v>
      </c>
      <c r="G154" s="151" t="inlineStr">
        <is>
          <t>https://www.flocert.net/app/uploads/2023/07/TC-FeeSys-ED-94-en.pdf</t>
        </is>
      </c>
      <c r="H154" s="151" t="inlineStr">
        <is>
          <t>2025</t>
        </is>
      </c>
      <c r="I154" s="152" t="inlineStr">
        <is>
          <t>Verificar en el sistema de tarifas vigente</t>
        </is>
      </c>
      <c r="J154" s="151" t="inlineStr">
        <is>
          <t>Con fuente (ver URL)</t>
        </is>
      </c>
    </row>
    <row r="155" ht="15" customHeight="1" s="106">
      <c r="A155" s="151" t="inlineStr">
        <is>
          <t>flocert_inicial_spo</t>
        </is>
      </c>
      <c r="B155" s="152" t="inlineStr">
        <is>
          <t>FLOCERT: certificación inicial organización de pequeños productores</t>
        </is>
      </c>
      <c r="C155" s="151" t="inlineStr">
        <is>
          <t>EUR</t>
        </is>
      </c>
      <c r="D155" s="153" t="n">
        <v>1631</v>
      </c>
      <c r="E155" s="153" t="n">
        <v>2500</v>
      </c>
      <c r="F155" s="153" t="n">
        <v>3943</v>
      </c>
      <c r="G155" s="151" t="inlineStr">
        <is>
          <t>https://www.flocert.net/app/uploads/2023/07/TC-FeeSys-ED-94-en.pdf</t>
        </is>
      </c>
      <c r="H155" s="151" t="inlineStr">
        <is>
          <t>2025</t>
        </is>
      </c>
      <c r="I155" s="152" t="inlineStr">
        <is>
          <t>&lt;50 a &gt;1,000 socios</t>
        </is>
      </c>
      <c r="J155" s="151" t="inlineStr">
        <is>
          <t>Con fuente (ver URL)</t>
        </is>
      </c>
    </row>
    <row r="156" ht="15" customHeight="1" s="106">
      <c r="A156" s="151" t="inlineStr">
        <is>
          <t>flocert_anual_spo</t>
        </is>
      </c>
      <c r="B156" s="152" t="inlineStr">
        <is>
          <t>FLOCERT: cuota anual organización de pequeños productores</t>
        </is>
      </c>
      <c r="C156" s="151" t="inlineStr">
        <is>
          <t>EUR/año</t>
        </is>
      </c>
      <c r="D156" s="153" t="n">
        <v>1330</v>
      </c>
      <c r="E156" s="153" t="n">
        <v>2200</v>
      </c>
      <c r="F156" s="153" t="n">
        <v>3152</v>
      </c>
      <c r="G156" s="151" t="inlineStr">
        <is>
          <t>https://www.flocert.net/app/uploads/2023/07/TC-FeeSys-ED-94-en.pdf</t>
        </is>
      </c>
      <c r="H156" s="151" t="inlineStr">
        <is>
          <t>2025</t>
        </is>
      </c>
      <c r="I156" s="152" t="n"/>
      <c r="J156" s="151" t="inlineStr">
        <is>
          <t>Con fuente (ver URL)</t>
        </is>
      </c>
    </row>
    <row r="157" ht="15" customHeight="1" s="106">
      <c r="A157" s="151" t="inlineStr">
        <is>
          <t>uebt_membresia</t>
        </is>
      </c>
      <c r="B157" s="152" t="inlineStr">
        <is>
          <t>UEBT: membresía anual (facturación del ingrediente &lt;EUR 2 M; EUR 2-5 M)</t>
        </is>
      </c>
      <c r="C157" s="151" t="inlineStr">
        <is>
          <t>EUR/año</t>
        </is>
      </c>
      <c r="D157" s="153" t="n">
        <v>740</v>
      </c>
      <c r="E157" s="153" t="n">
        <v>740</v>
      </c>
      <c r="F157" s="153" t="n">
        <v>1455</v>
      </c>
      <c r="G157" s="151" t="inlineStr">
        <is>
          <t>https://uebt.org/cost-of-uebtra</t>
        </is>
      </c>
      <c r="H157" s="151" t="inlineStr">
        <is>
          <t>2026</t>
        </is>
      </c>
      <c r="I157" s="152" t="inlineStr">
        <is>
          <t>Solicitud única = 50% de la membresía</t>
        </is>
      </c>
      <c r="J157" s="151" t="inlineStr">
        <is>
          <t>Con fuente (ver URL)</t>
        </is>
      </c>
    </row>
    <row r="158" ht="15" customHeight="1" s="106">
      <c r="A158" s="151" t="inlineStr">
        <is>
          <t>uebt_auditoria</t>
        </is>
      </c>
      <c r="B158" s="152" t="inlineStr">
        <is>
          <t>UEBT: auditoría de certificación de ingrediente</t>
        </is>
      </c>
      <c r="C158" s="151" t="inlineStr">
        <is>
          <t>USD/ciclo</t>
        </is>
      </c>
      <c r="D158" s="153" t="n">
        <v>3000</v>
      </c>
      <c r="E158" s="153" t="n">
        <v>5000</v>
      </c>
      <c r="F158" s="153" t="n">
        <v>9000</v>
      </c>
      <c r="G158" s="151" t="inlineStr">
        <is>
          <t>estimación BBS</t>
        </is>
      </c>
      <c r="H158" s="151" t="inlineStr">
        <is>
          <t>2026</t>
        </is>
      </c>
      <c r="I158" s="152" t="n"/>
      <c r="J158" s="151" t="inlineStr">
        <is>
          <t>Baja (estimación BBS)</t>
        </is>
      </c>
    </row>
    <row r="159" ht="15" customHeight="1" s="106">
      <c r="A159" s="151" t="inlineStr">
        <is>
          <t>ffl_fondo</t>
        </is>
      </c>
      <c r="B159" s="152" t="inlineStr">
        <is>
          <t>Fair for Life: fondo de desarrollo</t>
        </is>
      </c>
      <c r="C159" s="151" t="inlineStr">
        <is>
          <t>% del precio de compra</t>
        </is>
      </c>
      <c r="D159" s="153" t="n">
        <v>5</v>
      </c>
      <c r="E159" s="153" t="n">
        <v>5</v>
      </c>
      <c r="F159" s="153" t="n">
        <v>10</v>
      </c>
      <c r="G159" s="151" t="inlineStr">
        <is>
          <t>https://www.fairforlife.org/wp-content/uploads/2025/05/ID-FFL-01_v02_en_Guidance-on-Pricing-and-Fair-Trade-Fund.pdf</t>
        </is>
      </c>
      <c r="H159" s="151" t="inlineStr">
        <is>
          <t>2025</t>
        </is>
      </c>
      <c r="I159" s="152" t="n"/>
      <c r="J159" s="151" t="inlineStr">
        <is>
          <t>Con fuente (ver URL)</t>
        </is>
      </c>
    </row>
    <row r="160" ht="15" customHeight="1" s="106">
      <c r="A160" s="151" t="inlineStr">
        <is>
          <t>digesa_rs</t>
        </is>
      </c>
      <c r="B160" s="152" t="inlineStr">
        <is>
          <t>Perú DIGESA: registro sanitario alimento industrializado</t>
        </is>
      </c>
      <c r="C160" s="151" t="inlineStr">
        <is>
          <t>USD/producto</t>
        </is>
      </c>
      <c r="D160" s="153" t="n">
        <v>0</v>
      </c>
      <c r="E160" s="153" t="n">
        <v>99</v>
      </c>
      <c r="F160" s="153" t="n">
        <v>99</v>
      </c>
      <c r="G160" s="151" t="inlineStr">
        <is>
          <t>https://www.digesa.minsa.gob.pe/orientacion/lista_pagos_tupas-5.pdf</t>
        </is>
      </c>
      <c r="H160" s="151" t="inlineStr">
        <is>
          <t>2025</t>
        </is>
      </c>
      <c r="I160" s="152" t="inlineStr">
        <is>
          <t>S/ 365; en 2026 sin costo por derecho de petición (comunicado DIGESA)</t>
        </is>
      </c>
      <c r="J160" s="151" t="inlineStr">
        <is>
          <t>Con fuente (ver URL)</t>
        </is>
      </c>
    </row>
    <row r="161" ht="15" customHeight="1" s="106">
      <c r="A161" s="151" t="inlineStr">
        <is>
          <t>digemid_nso</t>
        </is>
      </c>
      <c r="B161" s="152" t="inlineStr">
        <is>
          <t>Perú DIGEMID: NSO cosméticos (Decisión 833)</t>
        </is>
      </c>
      <c r="C161" s="151" t="inlineStr">
        <is>
          <t>USD</t>
        </is>
      </c>
      <c r="D161" s="153" t="n">
        <v>0</v>
      </c>
      <c r="E161" s="153" t="n">
        <v>352</v>
      </c>
      <c r="F161" s="153" t="n">
        <v>352</v>
      </c>
      <c r="G161" s="151" t="inlineStr">
        <is>
          <t>https://tramitesperu.com/minsa/notificacion-sanitaria/</t>
        </is>
      </c>
      <c r="H161" s="151" t="inlineStr">
        <is>
          <t>2026</t>
        </is>
      </c>
      <c r="I161" s="152" t="inlineStr">
        <is>
          <t>S/ 1,303 según portal; DIGEMID lo indica gratuito. Verificar</t>
        </is>
      </c>
      <c r="J161" s="151" t="inlineStr">
        <is>
          <t>Con fuente (ver URL)</t>
        </is>
      </c>
    </row>
    <row r="162" ht="15" customHeight="1" s="106">
      <c r="A162" s="151" t="inlineStr">
        <is>
          <t>invima_rs_alto</t>
        </is>
      </c>
      <c r="B162" s="152" t="inlineStr">
        <is>
          <t>Colombia INVIMA: registro sanitario alimento riesgo alto (675.28 UVB)</t>
        </is>
      </c>
      <c r="C162" s="151" t="inlineStr">
        <is>
          <t>USD</t>
        </is>
      </c>
      <c r="D162" s="153" t="n">
        <v>1950</v>
      </c>
      <c r="E162" s="153" t="n">
        <v>2040</v>
      </c>
      <c r="F162" s="153" t="n">
        <v>2040</v>
      </c>
      <c r="G162" s="151" t="inlineStr">
        <is>
          <t>https://www.invima.gov.co/biblioteca/resolucion-2025029573-actualizacion-tarifas-invima</t>
        </is>
      </c>
      <c r="H162" s="151" t="inlineStr">
        <is>
          <t>2026</t>
        </is>
      </c>
      <c r="I162" s="152" t="inlineStr">
        <is>
          <t>UVB 2025 COP 11,552; 2026 COP 12,110</t>
        </is>
      </c>
      <c r="J162" s="151" t="inlineStr">
        <is>
          <t>Con fuente (ver URL)</t>
        </is>
      </c>
    </row>
    <row r="163" ht="15" customHeight="1" s="106">
      <c r="A163" s="151" t="inlineStr">
        <is>
          <t>invima_ps_medio</t>
        </is>
      </c>
      <c r="B163" s="152" t="inlineStr">
        <is>
          <t>Colombia INVIMA: permiso sanitario riesgo medio (515.53 UVB)</t>
        </is>
      </c>
      <c r="C163" s="151" t="inlineStr">
        <is>
          <t>USD</t>
        </is>
      </c>
      <c r="D163" s="153" t="n">
        <v>1490</v>
      </c>
      <c r="E163" s="153" t="n">
        <v>1560</v>
      </c>
      <c r="F163" s="153" t="n">
        <v>1560</v>
      </c>
      <c r="G163" s="151" t="inlineStr">
        <is>
          <t>https://www.invima.gov.co/biblioteca/resolucion-2025029573-actualizacion-tarifas-invima</t>
        </is>
      </c>
      <c r="H163" s="151" t="inlineStr">
        <is>
          <t>2026</t>
        </is>
      </c>
      <c r="I163" s="152" t="n"/>
      <c r="J163" s="151" t="inlineStr">
        <is>
          <t>Con fuente (ver URL)</t>
        </is>
      </c>
    </row>
    <row r="164" ht="15" customHeight="1" s="106">
      <c r="A164" s="151" t="inlineStr">
        <is>
          <t>invima_ns_bajo</t>
        </is>
      </c>
      <c r="B164" s="152" t="inlineStr">
        <is>
          <t>Colombia INVIMA: notificación sanitaria riesgo bajo (342.53 UVB)</t>
        </is>
      </c>
      <c r="C164" s="151" t="inlineStr">
        <is>
          <t>USD</t>
        </is>
      </c>
      <c r="D164" s="153" t="n">
        <v>990</v>
      </c>
      <c r="E164" s="153" t="n">
        <v>1040</v>
      </c>
      <c r="F164" s="153" t="n">
        <v>1040</v>
      </c>
      <c r="G164" s="151" t="inlineStr">
        <is>
          <t>https://www.invima.gov.co/biblioteca/resolucion-2025029573-actualizacion-tarifas-invima</t>
        </is>
      </c>
      <c r="H164" s="151" t="inlineStr">
        <is>
          <t>2026</t>
        </is>
      </c>
      <c r="I164" s="152" t="n"/>
      <c r="J164" s="151" t="inlineStr">
        <is>
          <t>Con fuente (ver URL)</t>
        </is>
      </c>
    </row>
    <row r="165" ht="15" customHeight="1" s="106">
      <c r="A165" s="151" t="inlineStr">
        <is>
          <t>invima_nso_cosm</t>
        </is>
      </c>
      <c r="B165" s="152" t="inlineStr">
        <is>
          <t>Colombia INVIMA: NSO cosméticos (292.83 UVB)</t>
        </is>
      </c>
      <c r="C165" s="151" t="inlineStr">
        <is>
          <t>USD</t>
        </is>
      </c>
      <c r="D165" s="153" t="n">
        <v>850</v>
      </c>
      <c r="E165" s="153" t="n">
        <v>890</v>
      </c>
      <c r="F165" s="153" t="n">
        <v>890</v>
      </c>
      <c r="G165" s="151" t="inlineStr">
        <is>
          <t>https://www.invima.gov.co/biblioteca/resolucion-2025029573-actualizacion-tarifas-invima</t>
        </is>
      </c>
      <c r="H165" s="151" t="inlineStr">
        <is>
          <t>2026</t>
        </is>
      </c>
      <c r="I165" s="152" t="inlineStr">
        <is>
          <t>Exención disponible para emprendimientos</t>
        </is>
      </c>
      <c r="J165" s="151" t="inlineStr">
        <is>
          <t>Con fuente (ver URL)</t>
        </is>
      </c>
    </row>
    <row r="166" ht="15" customHeight="1" s="106">
      <c r="A166" s="151" t="inlineStr">
        <is>
          <t>arcsa_ns</t>
        </is>
      </c>
      <c r="B166" s="152" t="inlineStr">
        <is>
          <t>Ecuador ARCSA: notificación sanitaria alimento procesado nacional</t>
        </is>
      </c>
      <c r="C166" s="151" t="inlineStr">
        <is>
          <t>USD (vigencia 5 años)</t>
        </is>
      </c>
      <c r="D166" s="153" t="n">
        <v>105</v>
      </c>
      <c r="E166" s="153" t="n">
        <v>340</v>
      </c>
      <c r="F166" s="153" t="n">
        <v>715</v>
      </c>
      <c r="G166" s="151" t="inlineStr">
        <is>
          <t>https://www.controlsanitario.gob.ec/wp-content/uploads/downloads/2024/12/ARCSA-TASAS-VIGENTES-2025.pdf</t>
        </is>
      </c>
      <c r="H166" s="151" t="inlineStr">
        <is>
          <t>2025</t>
        </is>
      </c>
      <c r="I166" s="152" t="inlineStr">
        <is>
          <t>Artesanal / pequeña / industria</t>
        </is>
      </c>
      <c r="J166" s="151" t="inlineStr">
        <is>
          <t>Con fuente (ver URL)</t>
        </is>
      </c>
    </row>
    <row r="167" ht="15" customHeight="1" s="106">
      <c r="A167" s="151" t="inlineStr">
        <is>
          <t>anvisa_cosm_g1</t>
        </is>
      </c>
      <c r="B167" s="152" t="inlineStr">
        <is>
          <t>Brasil ANVISA: notificación cosmético grado 1</t>
        </is>
      </c>
      <c r="C167" s="151" t="inlineStr">
        <is>
          <t>USD</t>
        </is>
      </c>
      <c r="D167" s="153" t="n">
        <v>32</v>
      </c>
      <c r="E167" s="153" t="n">
        <v>100</v>
      </c>
      <c r="F167" s="153" t="n">
        <v>640</v>
      </c>
      <c r="G167" s="151" t="inlineStr">
        <is>
          <t>http://antigo.anvisa.gov.br/documents/33888/2843328/Anexos+-+novos+valores+TFVS+_final.pdf/761ca478-b2c4-4ac0-aeb6-10058a7e2043</t>
        </is>
      </c>
      <c r="H167" s="151" t="inlineStr">
        <is>
          <t>2024</t>
        </is>
      </c>
      <c r="I167" s="152" t="inlineStr">
        <is>
          <t>R$ 176 a R$ 3,514 según porte</t>
        </is>
      </c>
      <c r="J167" s="151" t="inlineStr">
        <is>
          <t>Con fuente (ver URL)</t>
        </is>
      </c>
    </row>
    <row r="168" ht="15" customHeight="1" s="106">
      <c r="A168" s="151" t="inlineStr">
        <is>
          <t>anvisa_alim</t>
        </is>
      </c>
      <c r="B168" s="152" t="inlineStr">
        <is>
          <t>Brasil ANVISA: registro de alimento</t>
        </is>
      </c>
      <c r="C168" s="151" t="inlineStr">
        <is>
          <t>USD</t>
        </is>
      </c>
      <c r="D168" s="153" t="n">
        <v>97</v>
      </c>
      <c r="E168" s="153" t="n">
        <v>400</v>
      </c>
      <c r="F168" s="153" t="n">
        <v>1930</v>
      </c>
      <c r="G168" s="151" t="inlineStr">
        <is>
          <t>http://antigo.anvisa.gov.br/documents/33888/2843328/Anexos+-+novos+valores+TFVS+_final.pdf/761ca478-b2c4-4ac0-aeb6-10058a7e2043</t>
        </is>
      </c>
      <c r="H168" s="151" t="inlineStr">
        <is>
          <t>2024</t>
        </is>
      </c>
      <c r="I168" s="152" t="inlineStr">
        <is>
          <t>R$ 532 a R$ 10,637</t>
        </is>
      </c>
      <c r="J168" s="151" t="inlineStr">
        <is>
          <t>Con fuente (ver URL)</t>
        </is>
      </c>
    </row>
    <row r="169" ht="15" customHeight="1" s="106">
      <c r="A169" s="151" t="inlineStr">
        <is>
          <t>registro_plazo</t>
        </is>
      </c>
      <c r="B169" s="152" t="inlineStr">
        <is>
          <t>Plazo de registro / notificación sanitaria</t>
        </is>
      </c>
      <c r="C169" s="151" t="inlineStr">
        <is>
          <t>meses</t>
        </is>
      </c>
      <c r="D169" s="153" t="n">
        <v>1</v>
      </c>
      <c r="E169" s="153" t="n">
        <v>3</v>
      </c>
      <c r="F169" s="153" t="n">
        <v>6</v>
      </c>
      <c r="G169" s="151" t="inlineStr">
        <is>
          <t>estimación BBS</t>
        </is>
      </c>
      <c r="H169" s="151" t="inlineStr">
        <is>
          <t>2026</t>
        </is>
      </c>
      <c r="I169" s="152" t="n"/>
      <c r="J169" s="151" t="inlineStr">
        <is>
          <t>Baja (estimación BBS)</t>
        </is>
      </c>
    </row>
    <row r="170" ht="15" customHeight="1" s="106">
      <c r="A170" s="151" t="inlineStr">
        <is>
          <t>asesoria_regulatoria</t>
        </is>
      </c>
      <c r="B170" s="152" t="inlineStr">
        <is>
          <t>Asesoría regulatoria por producto</t>
        </is>
      </c>
      <c r="C170" s="151" t="inlineStr">
        <is>
          <t>USD/producto</t>
        </is>
      </c>
      <c r="D170" s="153" t="n">
        <v>300</v>
      </c>
      <c r="E170" s="153" t="n">
        <v>800</v>
      </c>
      <c r="F170" s="153" t="n">
        <v>2000</v>
      </c>
      <c r="G170" s="151" t="inlineStr">
        <is>
          <t>estimación BBS</t>
        </is>
      </c>
      <c r="H170" s="151" t="inlineStr">
        <is>
          <t>2026</t>
        </is>
      </c>
      <c r="I170" s="152" t="n"/>
      <c r="J170" s="151" t="inlineStr">
        <is>
          <t>Baja (estimación BBS)</t>
        </is>
      </c>
    </row>
    <row r="171" ht="15" customHeight="1" s="106">
      <c r="A171" s="151" t="inlineStr">
        <is>
          <t>bpm_haccp_impl</t>
        </is>
      </c>
      <c r="B171" s="152" t="inlineStr">
        <is>
          <t>Implementación BPM/HACCP planta pequeña</t>
        </is>
      </c>
      <c r="C171" s="151" t="inlineStr">
        <is>
          <t>USD única vez</t>
        </is>
      </c>
      <c r="D171" s="153" t="n">
        <v>3000</v>
      </c>
      <c r="E171" s="153" t="n">
        <v>8000</v>
      </c>
      <c r="F171" s="153" t="n">
        <v>20000</v>
      </c>
      <c r="G171" s="151" t="inlineStr">
        <is>
          <t>estimación BBS</t>
        </is>
      </c>
      <c r="H171" s="151" t="inlineStr">
        <is>
          <t>2026</t>
        </is>
      </c>
      <c r="I171" s="152" t="n"/>
      <c r="J171" s="151" t="inlineStr">
        <is>
          <t>Baja (estimación BBS)</t>
        </is>
      </c>
    </row>
    <row r="172" ht="15" customHeight="1" s="106">
      <c r="A172" s="151" t="inlineStr">
        <is>
          <t>haccp_anual</t>
        </is>
      </c>
      <c r="B172" s="152" t="inlineStr">
        <is>
          <t>Certificación HACCP / validación sanitaria anual</t>
        </is>
      </c>
      <c r="C172" s="151" t="inlineStr">
        <is>
          <t>USD/año</t>
        </is>
      </c>
      <c r="D172" s="153" t="n">
        <v>1000</v>
      </c>
      <c r="E172" s="153" t="n">
        <v>2500</v>
      </c>
      <c r="F172" s="153" t="n">
        <v>5000</v>
      </c>
      <c r="G172" s="151" t="inlineStr">
        <is>
          <t>estimación BBS</t>
        </is>
      </c>
      <c r="H172" s="151" t="inlineStr">
        <is>
          <t>2026</t>
        </is>
      </c>
      <c r="I172" s="152" t="n"/>
      <c r="J172" s="151" t="inlineStr">
        <is>
          <t>Baja (estimación BBS)</t>
        </is>
      </c>
    </row>
    <row r="173" ht="15" customHeight="1" s="106">
      <c r="A173" s="151" t="inlineStr">
        <is>
          <t>fichas_sds</t>
        </is>
      </c>
      <c r="B173" s="152" t="inlineStr">
        <is>
          <t>Fichas técnicas, SDS, plantilla COA</t>
        </is>
      </c>
      <c r="C173" s="151" t="inlineStr">
        <is>
          <t>USD/producto</t>
        </is>
      </c>
      <c r="D173" s="153" t="n">
        <v>0</v>
      </c>
      <c r="E173" s="153" t="n">
        <v>300</v>
      </c>
      <c r="F173" s="153" t="n">
        <v>1000</v>
      </c>
      <c r="G173" s="151" t="inlineStr">
        <is>
          <t>estimación BBS</t>
        </is>
      </c>
      <c r="H173" s="151" t="inlineStr">
        <is>
          <t>2026</t>
        </is>
      </c>
      <c r="I173" s="152" t="n"/>
      <c r="J173" s="151" t="inlineStr">
        <is>
          <t>Baja (estimación BBS)</t>
        </is>
      </c>
    </row>
    <row r="174" ht="15" customHeight="1" s="106">
      <c r="A174" s="151" t="inlineStr">
        <is>
          <t>lab_micro</t>
        </is>
      </c>
      <c r="B174" s="152" t="inlineStr">
        <is>
          <t>Panel microbiológico por muestra</t>
        </is>
      </c>
      <c r="C174" s="151" t="inlineStr">
        <is>
          <t>USD/muestra</t>
        </is>
      </c>
      <c r="D174" s="153" t="n">
        <v>60</v>
      </c>
      <c r="E174" s="153" t="n">
        <v>110</v>
      </c>
      <c r="F174" s="153" t="n">
        <v>160</v>
      </c>
      <c r="G174" s="151" t="inlineStr">
        <is>
          <t>https://www.medallionlabs.com/wp-content/uploads/2026/01/GMI_MedallionLabs_Catalog_2026_V1.pdf</t>
        </is>
      </c>
      <c r="H174" s="151" t="inlineStr">
        <is>
          <t>2026</t>
        </is>
      </c>
      <c r="I174" s="152" t="inlineStr">
        <is>
          <t>Alto = EE. UU.; bajo = LatAm (estimación BBS 40-80%)</t>
        </is>
      </c>
      <c r="J174" s="151" t="inlineStr">
        <is>
          <t>Con fuente (ver URL)</t>
        </is>
      </c>
    </row>
    <row r="175" ht="15" customHeight="1" s="106">
      <c r="A175" s="151" t="inlineStr">
        <is>
          <t>lab_metales</t>
        </is>
      </c>
      <c r="B175" s="152" t="inlineStr">
        <is>
          <t>Metales pesados As, Cd, Pb, Hg</t>
        </is>
      </c>
      <c r="C175" s="151" t="inlineStr">
        <is>
          <t>USD/muestra</t>
        </is>
      </c>
      <c r="D175" s="153" t="n">
        <v>70</v>
      </c>
      <c r="E175" s="153" t="n">
        <v>120</v>
      </c>
      <c r="F175" s="153" t="n">
        <v>164</v>
      </c>
      <c r="G175" s="151" t="inlineStr">
        <is>
          <t>https://www.medallionlabs.com/wp-content/uploads/2026/01/GMI_MedallionLabs_Catalog_2026_V1.pdf</t>
        </is>
      </c>
      <c r="H175" s="151" t="inlineStr">
        <is>
          <t>2026</t>
        </is>
      </c>
      <c r="I175" s="152" t="n"/>
      <c r="J175" s="151" t="inlineStr">
        <is>
          <t>Con fuente (ver URL)</t>
        </is>
      </c>
    </row>
    <row r="176" ht="15" customHeight="1" s="106">
      <c r="A176" s="151" t="inlineStr">
        <is>
          <t>lab_plaguicidas</t>
        </is>
      </c>
      <c r="B176" s="152" t="inlineStr">
        <is>
          <t>Multirresiduo de plaguicidas</t>
        </is>
      </c>
      <c r="C176" s="151" t="inlineStr">
        <is>
          <t>USD/muestra</t>
        </is>
      </c>
      <c r="D176" s="153" t="n">
        <v>180</v>
      </c>
      <c r="E176" s="153" t="n">
        <v>350</v>
      </c>
      <c r="F176" s="153" t="n">
        <v>515</v>
      </c>
      <c r="G176" s="151" t="inlineStr">
        <is>
          <t>https://www.medallionlabs.com/wp-content/uploads/2026/01/GMI_MedallionLabs_Catalog_2026_V1.pdf</t>
        </is>
      </c>
      <c r="H176" s="151" t="inlineStr">
        <is>
          <t>2026</t>
        </is>
      </c>
      <c r="I176" s="152" t="inlineStr">
        <is>
          <t>CU Perú USD 180</t>
        </is>
      </c>
      <c r="J176" s="151" t="inlineStr">
        <is>
          <t>Con fuente (ver URL)</t>
        </is>
      </c>
    </row>
    <row r="177" ht="15" customHeight="1" s="106">
      <c r="A177" s="151" t="inlineStr">
        <is>
          <t>lab_acidos_grasos</t>
        </is>
      </c>
      <c r="B177" s="152" t="inlineStr">
        <is>
          <t>Perfil de ácidos grasos (GC)</t>
        </is>
      </c>
      <c r="C177" s="151" t="inlineStr">
        <is>
          <t>USD/muestra</t>
        </is>
      </c>
      <c r="D177" s="153" t="n">
        <v>100</v>
      </c>
      <c r="E177" s="153" t="n">
        <v>180</v>
      </c>
      <c r="F177" s="153" t="n">
        <v>270</v>
      </c>
      <c r="G177" s="151" t="inlineStr">
        <is>
          <t>https://www.medallionlabs.com/wp-content/uploads/2026/01/GMI_MedallionLabs_Catalog_2026_V1.pdf</t>
        </is>
      </c>
      <c r="H177" s="151" t="inlineStr">
        <is>
          <t>2026</t>
        </is>
      </c>
      <c r="I177" s="152" t="n"/>
      <c r="J177" s="151" t="inlineStr">
        <is>
          <t>Con fuente (ver URL)</t>
        </is>
      </c>
    </row>
    <row r="178" ht="15" customHeight="1" s="106">
      <c r="A178" s="151" t="inlineStr">
        <is>
          <t>lab_vitc</t>
        </is>
      </c>
      <c r="B178" s="152" t="inlineStr">
        <is>
          <t>Vitamina C</t>
        </is>
      </c>
      <c r="C178" s="151" t="inlineStr">
        <is>
          <t>USD/muestra</t>
        </is>
      </c>
      <c r="D178" s="153" t="n">
        <v>30</v>
      </c>
      <c r="E178" s="153" t="n">
        <v>55</v>
      </c>
      <c r="F178" s="153" t="n">
        <v>80</v>
      </c>
      <c r="G178" s="151" t="inlineStr">
        <is>
          <t>https://www.medallionlabs.com/wp-content/uploads/2026/01/GMI_MedallionLabs_Catalog_2026_V1.pdf</t>
        </is>
      </c>
      <c r="H178" s="151" t="inlineStr">
        <is>
          <t>2026</t>
        </is>
      </c>
      <c r="I178" s="152" t="n"/>
      <c r="J178" s="151" t="inlineStr">
        <is>
          <t>Con fuente (ver URL)</t>
        </is>
      </c>
    </row>
    <row r="179" ht="15" customHeight="1" s="106">
      <c r="A179" s="151" t="inlineStr">
        <is>
          <t>lab_humedad_aw</t>
        </is>
      </c>
      <c r="B179" s="152" t="inlineStr">
        <is>
          <t>Humedad + actividad de agua</t>
        </is>
      </c>
      <c r="C179" s="151" t="inlineStr">
        <is>
          <t>USD/muestra</t>
        </is>
      </c>
      <c r="D179" s="153" t="n">
        <v>20</v>
      </c>
      <c r="E179" s="153" t="n">
        <v>45</v>
      </c>
      <c r="F179" s="153" t="n">
        <v>76</v>
      </c>
      <c r="G179" s="151" t="inlineStr">
        <is>
          <t>https://www.medallionlabs.com/wp-content/uploads/2026/01/GMI_MedallionLabs_Catalog_2026_V1.pdf</t>
        </is>
      </c>
      <c r="H179" s="151" t="inlineStr">
        <is>
          <t>2026</t>
        </is>
      </c>
      <c r="I179" s="152" t="n"/>
      <c r="J179" s="151" t="inlineStr">
        <is>
          <t>Con fuente (ver URL)</t>
        </is>
      </c>
    </row>
    <row r="180" ht="15" customHeight="1" s="106">
      <c r="A180" s="151" t="inlineStr">
        <is>
          <t>lab_aflatoxinas</t>
        </is>
      </c>
      <c r="B180" s="152" t="inlineStr">
        <is>
          <t>Aflatoxinas</t>
        </is>
      </c>
      <c r="C180" s="151" t="inlineStr">
        <is>
          <t>USD/muestra</t>
        </is>
      </c>
      <c r="D180" s="153" t="n">
        <v>60</v>
      </c>
      <c r="E180" s="153" t="n">
        <v>100</v>
      </c>
      <c r="F180" s="153" t="n">
        <v>150</v>
      </c>
      <c r="G180" s="151" t="inlineStr">
        <is>
          <t>https://www.medallionlabs.com/wp-content/uploads/2026/01/GMI_MedallionLabs_Catalog_2026_V1.pdf</t>
        </is>
      </c>
      <c r="H180" s="151" t="inlineStr">
        <is>
          <t>2026</t>
        </is>
      </c>
      <c r="I180" s="152" t="n"/>
      <c r="J180" s="151" t="inlineStr">
        <is>
          <t>Con fuente (ver URL)</t>
        </is>
      </c>
    </row>
    <row r="181" ht="15" customHeight="1" s="106">
      <c r="A181" s="151" t="inlineStr">
        <is>
          <t>lab_paquete_lote</t>
        </is>
      </c>
      <c r="B181" s="152" t="inlineStr">
        <is>
          <t>Paquete estándar por lote de exportación</t>
        </is>
      </c>
      <c r="C181" s="151" t="inlineStr">
        <is>
          <t>USD/lote</t>
        </is>
      </c>
      <c r="D181" s="153" t="n">
        <v>180</v>
      </c>
      <c r="E181" s="153" t="n">
        <v>330</v>
      </c>
      <c r="F181" s="153" t="n">
        <v>480</v>
      </c>
      <c r="G181" s="151" t="inlineStr">
        <is>
          <t>https://www.medallionlabs.com/wp-content/uploads/2026/01/GMI_MedallionLabs_Catalog_2026_V1.pdf</t>
        </is>
      </c>
      <c r="H181" s="151" t="inlineStr">
        <is>
          <t>2026</t>
        </is>
      </c>
      <c r="I181" s="152" t="inlineStr">
        <is>
          <t>Suma micro + metales + humedad + marcador</t>
        </is>
      </c>
      <c r="J181" s="151" t="inlineStr">
        <is>
          <t>Con fuente (ver URL)</t>
        </is>
      </c>
    </row>
    <row r="182" ht="15" customHeight="1" s="106">
      <c r="A182" s="151" t="inlineStr">
        <is>
          <t>lab_lotes_anio</t>
        </is>
      </c>
      <c r="B182" s="152" t="inlineStr">
        <is>
          <t>Lotes analizados por año, operación pequeña</t>
        </is>
      </c>
      <c r="C182" s="151" t="inlineStr">
        <is>
          <t>lotes/año</t>
        </is>
      </c>
      <c r="D182" s="153" t="n">
        <v>4</v>
      </c>
      <c r="E182" s="153" t="n">
        <v>8</v>
      </c>
      <c r="F182" s="153" t="n">
        <v>12</v>
      </c>
      <c r="G182" s="151" t="inlineStr">
        <is>
          <t>estimación BBS</t>
        </is>
      </c>
      <c r="H182" s="151" t="inlineStr">
        <is>
          <t>2026</t>
        </is>
      </c>
      <c r="I182" s="152" t="n"/>
      <c r="J182" s="151" t="inlineStr">
        <is>
          <t>Baja (estimación BBS)</t>
        </is>
      </c>
    </row>
    <row r="183" ht="15" customHeight="1" s="106">
      <c r="A183" s="151" t="inlineStr">
        <is>
          <t>abs_plazo_legal_pe</t>
        </is>
      </c>
      <c r="B183" s="152" t="inlineStr">
        <is>
          <t>Perú: plazo legal de evaluación contrato de acceso comercial</t>
        </is>
      </c>
      <c r="C183" s="151" t="inlineStr">
        <is>
          <t>días hábiles</t>
        </is>
      </c>
      <c r="D183" s="153" t="n">
        <v>90</v>
      </c>
      <c r="E183" s="153" t="n">
        <v>90</v>
      </c>
      <c r="F183" s="153" t="n">
        <v>90</v>
      </c>
      <c r="G183" s="151" t="inlineStr">
        <is>
          <t>https://genesperu.minam.gob.pe/acceso-a-recursos-geneticos/</t>
        </is>
      </c>
      <c r="H183" s="151" t="inlineStr">
        <is>
          <t>2021</t>
        </is>
      </c>
      <c r="I183" s="152" t="n"/>
      <c r="J183" s="151" t="inlineStr">
        <is>
          <t>Con fuente (ver URL)</t>
        </is>
      </c>
    </row>
    <row r="184" ht="15" customHeight="1" s="106">
      <c r="A184" s="151" t="inlineStr">
        <is>
          <t>abs_plazo_real</t>
        </is>
      </c>
      <c r="B184" s="152" t="inlineStr">
        <is>
          <t>Plazo real total ABS (PIC, consentimiento, MAT, resolución)</t>
        </is>
      </c>
      <c r="C184" s="151" t="inlineStr">
        <is>
          <t>meses</t>
        </is>
      </c>
      <c r="D184" s="153" t="n">
        <v>6</v>
      </c>
      <c r="E184" s="153" t="n">
        <v>12</v>
      </c>
      <c r="F184" s="153" t="n">
        <v>18</v>
      </c>
      <c r="G184" s="151" t="inlineStr">
        <is>
          <t>Manuscrito Paso 02; https://genesperu.minam.gob.pe/serfor-suscribe-primer-contrato-de-acceso-a-los-recursos-geneticos-y-sus-derivados-con-fines-comerciales/</t>
        </is>
      </c>
      <c r="H184" s="151" t="inlineStr">
        <is>
          <t>2026</t>
        </is>
      </c>
      <c r="I184" s="152" t="n"/>
      <c r="J184" s="151" t="inlineStr">
        <is>
          <t>Media (cálculo o supuesto)</t>
        </is>
      </c>
    </row>
    <row r="185" ht="15" customHeight="1" s="106">
      <c r="A185" s="151" t="inlineStr">
        <is>
          <t>abs_costo_real</t>
        </is>
      </c>
      <c r="B185" s="152" t="inlineStr">
        <is>
          <t>Costo real de un contrato de acceso (abogado, estudios, consulta)</t>
        </is>
      </c>
      <c r="C185" s="151" t="inlineStr">
        <is>
          <t>USD/contrato</t>
        </is>
      </c>
      <c r="D185" s="153" t="n">
        <v>5000</v>
      </c>
      <c r="E185" s="153" t="n">
        <v>15000</v>
      </c>
      <c r="F185" s="153" t="n">
        <v>40000</v>
      </c>
      <c r="G185" s="151" t="inlineStr">
        <is>
          <t>estimación BBS</t>
        </is>
      </c>
      <c r="H185" s="151" t="inlineStr">
        <is>
          <t>2026</t>
        </is>
      </c>
      <c r="I185" s="152" t="n"/>
      <c r="J185" s="151" t="inlineStr">
        <is>
          <t>Baja (estimación BBS)</t>
        </is>
      </c>
    </row>
    <row r="186" ht="15" customHeight="1" s="106">
      <c r="A186" s="151" t="inlineStr">
        <is>
          <t>cumplimiento_total_anual</t>
        </is>
      </c>
      <c r="B186" s="152" t="inlineStr">
        <is>
          <t>Cumplimiento anual total, operación 1-3 t/año</t>
        </is>
      </c>
      <c r="C186" s="151" t="inlineStr">
        <is>
          <t>USD/año</t>
        </is>
      </c>
      <c r="D186" s="153" t="n">
        <v>7500</v>
      </c>
      <c r="E186" s="153" t="n">
        <v>13600</v>
      </c>
      <c r="F186" s="153" t="n">
        <v>33800</v>
      </c>
      <c r="G186" s="151" t="inlineStr">
        <is>
          <t>estimación BBS</t>
        </is>
      </c>
      <c r="H186" s="151" t="inlineStr">
        <is>
          <t>2026</t>
        </is>
      </c>
      <c r="I186" s="152" t="inlineStr">
        <is>
          <t>Orgánico + laboratorio + BPM/registros + (opcional) comercio justo/UEBT</t>
        </is>
      </c>
      <c r="J186" s="151" t="inlineStr">
        <is>
          <t>Baja (estimación BBS)</t>
        </is>
      </c>
    </row>
    <row r="187" ht="15" customHeight="1" s="106">
      <c r="A187" s="151" t="inlineStr">
        <is>
          <t>cumplimiento_pct_costo</t>
        </is>
      </c>
      <c r="B187" s="152" t="inlineStr">
        <is>
          <t>Cumplimiento como % del costo total</t>
        </is>
      </c>
      <c r="C187" s="151" t="inlineStr">
        <is>
          <t>%</t>
        </is>
      </c>
      <c r="D187" s="153" t="n">
        <v>3</v>
      </c>
      <c r="E187" s="153" t="n">
        <v>8</v>
      </c>
      <c r="F187" s="153" t="n">
        <v>15</v>
      </c>
      <c r="G187" s="151" t="inlineStr">
        <is>
          <t>Manuscrito Paso 05</t>
        </is>
      </c>
      <c r="H187" s="151" t="inlineStr">
        <is>
          <t>2026</t>
        </is>
      </c>
      <c r="I187" s="152" t="inlineStr">
        <is>
          <t>Bajo 1 t/año puede superar 15%</t>
        </is>
      </c>
      <c r="J187" s="151" t="inlineStr">
        <is>
          <t>Media (cálculo o supuesto)</t>
        </is>
      </c>
    </row>
    <row r="189" ht="15" customHeight="1" s="106">
      <c r="A189" s="109" t="inlineStr">
        <is>
          <t>COMUNIDAD Y BENEFICIO COMPARTIDO</t>
        </is>
      </c>
      <c r="B189" s="110" t="n"/>
      <c r="C189" s="110" t="n"/>
      <c r="D189" s="110" t="n"/>
      <c r="E189" s="110" t="n"/>
      <c r="F189" s="110" t="n"/>
      <c r="G189" s="110" t="n"/>
      <c r="H189" s="110" t="n"/>
      <c r="I189" s="110" t="n"/>
      <c r="J189" s="110" t="n"/>
    </row>
    <row r="190" ht="15" customHeight="1" s="106">
      <c r="A190" s="151" t="inlineStr">
        <is>
          <t>br_abs_estandar</t>
        </is>
      </c>
      <c r="B190" s="152" t="inlineStr">
        <is>
          <t>Brasil Ley 13.123: reparto monetario</t>
        </is>
      </c>
      <c r="C190" s="151" t="inlineStr">
        <is>
          <t>% receita líquida</t>
        </is>
      </c>
      <c r="D190" s="153" t="n">
        <v>1</v>
      </c>
      <c r="E190" s="153" t="n">
        <v>1</v>
      </c>
      <c r="F190" s="153" t="n">
        <v>1</v>
      </c>
      <c r="G190" s="151" t="inlineStr">
        <is>
          <t>https://fiocruz.br/sites/fiocruz.br/files/documentos_2/abs_-brazilian_legislation_november_2022_.pdf</t>
        </is>
      </c>
      <c r="H190" s="151" t="inlineStr">
        <is>
          <t>2015</t>
        </is>
      </c>
      <c r="I190" s="152" t="n"/>
      <c r="J190" s="151" t="inlineStr">
        <is>
          <t>Con fuente (ver URL)</t>
        </is>
      </c>
    </row>
    <row r="191" ht="15" customHeight="1" s="106">
      <c r="A191" s="151" t="inlineStr">
        <is>
          <t>br_abs_sectorial</t>
        </is>
      </c>
      <c r="B191" s="152" t="inlineStr">
        <is>
          <t>Brasil: acuerdo sectorial reducido</t>
        </is>
      </c>
      <c r="C191" s="151" t="inlineStr">
        <is>
          <t>% receita líquida</t>
        </is>
      </c>
      <c r="D191" s="153" t="n">
        <v>0.1</v>
      </c>
      <c r="E191" s="153" t="n">
        <v>0.1</v>
      </c>
      <c r="F191" s="153" t="n">
        <v>0.1</v>
      </c>
      <c r="G191" s="151" t="inlineStr">
        <is>
          <t>https://fiocruz.br/sites/fiocruz.br/files/documentos_2/abs_-brazilian_legislation_november_2022_.pdf</t>
        </is>
      </c>
      <c r="H191" s="151" t="inlineStr">
        <is>
          <t>2015</t>
        </is>
      </c>
      <c r="I191" s="152" t="n"/>
      <c r="J191" s="151" t="inlineStr">
        <is>
          <t>Con fuente (ver URL)</t>
        </is>
      </c>
    </row>
    <row r="192" ht="15" customHeight="1" s="106">
      <c r="A192" s="151" t="inlineStr">
        <is>
          <t>ffl_sobreprecio</t>
        </is>
      </c>
      <c r="B192" s="152" t="inlineStr">
        <is>
          <t>Fair for Life: sobreprecio mínimo</t>
        </is>
      </c>
      <c r="C192" s="151" t="inlineStr">
        <is>
          <t>% sobre precio convencional</t>
        </is>
      </c>
      <c r="D192" s="153" t="n">
        <v>5</v>
      </c>
      <c r="E192" s="153" t="n">
        <v>5</v>
      </c>
      <c r="F192" s="153" t="n">
        <v>10</v>
      </c>
      <c r="G192" s="151" t="inlineStr">
        <is>
          <t>https://www.fairforlife.org/wp-content/uploads/2025/05/ID-FFL-01_v02_en_Guidance-on-Pricing-and-Fair-Trade-Fund.pdf</t>
        </is>
      </c>
      <c r="H192" s="151" t="inlineStr">
        <is>
          <t>2025</t>
        </is>
      </c>
      <c r="I192" s="152" t="inlineStr">
        <is>
          <t>10% si orgánico</t>
        </is>
      </c>
      <c r="J192" s="151" t="inlineStr">
        <is>
          <t>Con fuente (ver URL)</t>
        </is>
      </c>
    </row>
    <row r="193" ht="15" customHeight="1" s="106">
      <c r="A193" s="151" t="inlineStr">
        <is>
          <t>fairtrade_cafe_prima</t>
        </is>
      </c>
      <c r="B193" s="152" t="inlineStr">
        <is>
          <t>Fairtrade café: prima</t>
        </is>
      </c>
      <c r="C193" s="151" t="inlineStr">
        <is>
          <t>USD/libra</t>
        </is>
      </c>
      <c r="D193" s="153" t="n">
        <v>0.2</v>
      </c>
      <c r="E193" s="153" t="n">
        <v>0.2</v>
      </c>
      <c r="F193" s="153" t="n">
        <v>0.2</v>
      </c>
      <c r="G193" s="151" t="inlineStr">
        <is>
          <t>https://www.fairtrade.net</t>
        </is>
      </c>
      <c r="H193" s="151" t="inlineStr">
        <is>
          <t>2025</t>
        </is>
      </c>
      <c r="I193" s="152" t="inlineStr">
        <is>
          <t>Verificar valor vigente</t>
        </is>
      </c>
      <c r="J193" s="151" t="inlineStr">
        <is>
          <t>Con fuente (ver URL)</t>
        </is>
      </c>
    </row>
    <row r="194" ht="15" customHeight="1" s="106">
      <c r="A194" s="151" t="inlineStr">
        <is>
          <t>natura_monto_2022</t>
        </is>
      </c>
      <c r="B194" s="152" t="inlineStr">
        <is>
          <t>Natura: recursos directos a comunidades</t>
        </is>
      </c>
      <c r="C194" s="151" t="inlineStr">
        <is>
          <t>millones R$/año</t>
        </is>
      </c>
      <c r="D194" s="153" t="n">
        <v>45.7</v>
      </c>
      <c r="E194" s="153" t="n">
        <v>45.7</v>
      </c>
      <c r="F194" s="153" t="n">
        <v>45.7</v>
      </c>
      <c r="G194" s="151" t="inlineStr">
        <is>
          <t>https://static.rede.natura.net/html/br/06_2023/relatorio-anual-2022/Relatorio_Integrado_Natura_eCo_America_Latina_2022.pdf</t>
        </is>
      </c>
      <c r="H194" s="151" t="inlineStr">
        <is>
          <t>2022</t>
        </is>
      </c>
      <c r="I194" s="152" t="n"/>
      <c r="J194" s="151" t="inlineStr">
        <is>
          <t>Con fuente (ver URL)</t>
        </is>
      </c>
    </row>
    <row r="195" ht="15" customHeight="1" s="106">
      <c r="A195" s="151" t="inlineStr">
        <is>
          <t>natura_monto_2025</t>
        </is>
      </c>
      <c r="B195" s="152" t="inlineStr">
        <is>
          <t>Natura: recursos directos a comunidades amazónicas</t>
        </is>
      </c>
      <c r="C195" s="151" t="inlineStr">
        <is>
          <t>millones R$/año</t>
        </is>
      </c>
      <c r="D195" s="153" t="n">
        <v>48.3</v>
      </c>
      <c r="E195" s="153" t="n">
        <v>62.39</v>
      </c>
      <c r="F195" s="153" t="n">
        <v>62.39</v>
      </c>
      <c r="G195" s="151" t="inlineStr">
        <is>
          <t>https://revistaamazonia.com.br/natura-bioativos-amazonicos-renda-comunidades</t>
        </is>
      </c>
      <c r="H195" s="151" t="inlineStr">
        <is>
          <t>2025</t>
        </is>
      </c>
      <c r="I195" s="152" t="inlineStr">
        <is>
          <t>+29% sobre 2024</t>
        </is>
      </c>
      <c r="J195" s="151" t="inlineStr">
        <is>
          <t>Con fuente (ver URL)</t>
        </is>
      </c>
    </row>
    <row r="196" ht="15" customHeight="1" s="106">
      <c r="A196" s="151" t="inlineStr">
        <is>
          <t>natura_por_familia</t>
        </is>
      </c>
      <c r="B196" s="152" t="inlineStr">
        <is>
          <t>Natura: orden de magnitud por familia</t>
        </is>
      </c>
      <c r="C196" s="151" t="inlineStr">
        <is>
          <t>R$/familia/año</t>
        </is>
      </c>
      <c r="D196" s="153" t="n">
        <v>4500</v>
      </c>
      <c r="E196" s="153" t="n">
        <v>5600</v>
      </c>
      <c r="F196" s="153" t="n">
        <v>6500</v>
      </c>
      <c r="G196" s="151" t="inlineStr">
        <is>
          <t>Derivado de montos Natura / familias</t>
        </is>
      </c>
      <c r="H196" s="151" t="inlineStr">
        <is>
          <t>2025</t>
        </is>
      </c>
      <c r="I196" s="152" t="inlineStr">
        <is>
          <t>Guía §7: 8,155 familias en 41 comunidades (2022)</t>
        </is>
      </c>
      <c r="J196" s="151" t="inlineStr">
        <is>
          <t>Con fuente (ver URL)</t>
        </is>
      </c>
    </row>
    <row r="197" ht="15" customHeight="1" s="106">
      <c r="A197" s="151" t="inlineStr">
        <is>
          <t>base_sobreprecio</t>
        </is>
      </c>
      <c r="B197" s="152" t="inlineStr">
        <is>
          <t>Base fija: sobreprecio sobre precio local de biomasa</t>
        </is>
      </c>
      <c r="C197" s="151" t="inlineStr">
        <is>
          <t>%</t>
        </is>
      </c>
      <c r="D197" s="153" t="n">
        <v>10</v>
      </c>
      <c r="E197" s="153" t="n">
        <v>30</v>
      </c>
      <c r="F197" s="153" t="n">
        <v>50</v>
      </c>
      <c r="G197" s="151" t="inlineStr">
        <is>
          <t>estimación BBS</t>
        </is>
      </c>
      <c r="H197" s="151" t="inlineStr">
        <is>
          <t>2026</t>
        </is>
      </c>
      <c r="I197" s="152" t="n"/>
      <c r="J197" s="151" t="inlineStr">
        <is>
          <t>Baja (estimación BBS)</t>
        </is>
      </c>
    </row>
    <row r="198" ht="15" customHeight="1" s="106">
      <c r="A198" s="151" t="inlineStr">
        <is>
          <t>variable_pct_margen</t>
        </is>
      </c>
      <c r="B198" s="152" t="inlineStr">
        <is>
          <t>Variable: % del margen bruto antes de participación</t>
        </is>
      </c>
      <c r="C198" s="151" t="inlineStr">
        <is>
          <t>%</t>
        </is>
      </c>
      <c r="D198" s="153" t="n">
        <v>5</v>
      </c>
      <c r="E198" s="153" t="n">
        <v>10</v>
      </c>
      <c r="F198" s="153" t="n">
        <v>15</v>
      </c>
      <c r="G198" s="151" t="inlineStr">
        <is>
          <t>estimación BBS</t>
        </is>
      </c>
      <c r="H198" s="151" t="inlineStr">
        <is>
          <t>2026</t>
        </is>
      </c>
      <c r="I198" s="152" t="n"/>
      <c r="J198" s="151" t="inlineStr">
        <is>
          <t>Baja (estimación BBS)</t>
        </is>
      </c>
    </row>
    <row r="199" ht="15" customHeight="1" s="106">
      <c r="A199" s="151" t="inlineStr">
        <is>
          <t>participacion_pct_ventas</t>
        </is>
      </c>
      <c r="B199" s="152" t="inlineStr">
        <is>
          <t>Participación total (variable + patrimonio) como % de ventas</t>
        </is>
      </c>
      <c r="C199" s="151" t="inlineStr">
        <is>
          <t>%</t>
        </is>
      </c>
      <c r="D199" s="153" t="n">
        <v>3</v>
      </c>
      <c r="E199" s="153" t="n">
        <v>6</v>
      </c>
      <c r="F199" s="153" t="n">
        <v>10</v>
      </c>
      <c r="G199" s="151" t="inlineStr">
        <is>
          <t>estimación BBS</t>
        </is>
      </c>
      <c r="H199" s="151" t="inlineStr">
        <is>
          <t>2026</t>
        </is>
      </c>
      <c r="I199" s="152" t="n"/>
      <c r="J199" s="151" t="inlineStr">
        <is>
          <t>Baja (estimación BBS)</t>
        </is>
      </c>
    </row>
    <row r="200" ht="15" customHeight="1" s="106">
      <c r="A200" s="151" t="inlineStr">
        <is>
          <t>participacion_pct_margen</t>
        </is>
      </c>
      <c r="B200" s="152" t="inlineStr">
        <is>
          <t>Licencia social como % del margen bruto</t>
        </is>
      </c>
      <c r="C200" s="151" t="inlineStr">
        <is>
          <t>%</t>
        </is>
      </c>
      <c r="D200" s="153" t="n">
        <v>10</v>
      </c>
      <c r="E200" s="153" t="n">
        <v>15</v>
      </c>
      <c r="F200" s="153" t="n">
        <v>25</v>
      </c>
      <c r="G200" s="151" t="inlineStr">
        <is>
          <t>Manuscrito Paso 05</t>
        </is>
      </c>
      <c r="H200" s="151" t="inlineStr">
        <is>
          <t>2026</t>
        </is>
      </c>
      <c r="I200" s="152" t="n"/>
      <c r="J200" s="151" t="inlineStr">
        <is>
          <t>Media (cálculo o supuesto)</t>
        </is>
      </c>
    </row>
    <row r="201" ht="15" customHeight="1" s="106">
      <c r="A201" s="151" t="inlineStr">
        <is>
          <t>patrimonio_pct_capital</t>
        </is>
      </c>
      <c r="B201" s="152" t="inlineStr">
        <is>
          <t>Patrimonio: % del capital de la operadora en manos de la comunidad</t>
        </is>
      </c>
      <c r="C201" s="151" t="inlineStr">
        <is>
          <t>%</t>
        </is>
      </c>
      <c r="D201" s="153" t="n">
        <v>10</v>
      </c>
      <c r="E201" s="153" t="n">
        <v>20</v>
      </c>
      <c r="F201" s="153" t="n">
        <v>30</v>
      </c>
      <c r="G201" s="151" t="inlineStr">
        <is>
          <t>estimación BBS</t>
        </is>
      </c>
      <c r="H201" s="151" t="inlineStr">
        <is>
          <t>2026</t>
        </is>
      </c>
      <c r="I201" s="152" t="n"/>
      <c r="J201" s="151" t="inlineStr">
        <is>
          <t>Baja (estimación BBS)</t>
        </is>
      </c>
    </row>
    <row r="202" ht="15" customHeight="1" s="106">
      <c r="A202" s="151" t="inlineStr">
        <is>
          <t>dividendos_payout</t>
        </is>
      </c>
      <c r="B202" s="152" t="inlineStr">
        <is>
          <t>Política de dividendos de la operadora</t>
        </is>
      </c>
      <c r="C202" s="151" t="inlineStr">
        <is>
          <t>% utilidad neta</t>
        </is>
      </c>
      <c r="D202" s="153" t="n">
        <v>30</v>
      </c>
      <c r="E202" s="153" t="n">
        <v>40</v>
      </c>
      <c r="F202" s="153" t="n">
        <v>50</v>
      </c>
      <c r="G202" s="151" t="inlineStr">
        <is>
          <t>estimación BBS</t>
        </is>
      </c>
      <c r="H202" s="151" t="inlineStr">
        <is>
          <t>2026</t>
        </is>
      </c>
      <c r="I202" s="152" t="n"/>
      <c r="J202" s="151" t="inlineStr">
        <is>
          <t>Baja (estimación BBS)</t>
        </is>
      </c>
    </row>
    <row r="204" ht="15" customHeight="1" s="106">
      <c r="A204" s="109" t="inlineStr">
        <is>
          <t>CANALES</t>
        </is>
      </c>
      <c r="B204" s="110" t="n"/>
      <c r="C204" s="110" t="n"/>
      <c r="D204" s="110" t="n"/>
      <c r="E204" s="110" t="n"/>
      <c r="F204" s="110" t="n"/>
      <c r="G204" s="110" t="n"/>
      <c r="H204" s="110" t="n"/>
      <c r="I204" s="110" t="n"/>
      <c r="J204" s="110" t="n"/>
    </row>
    <row r="205" ht="15" customHeight="1" s="106">
      <c r="A205" s="151" t="inlineStr">
        <is>
          <t>dtc_margen_belleza</t>
        </is>
      </c>
      <c r="B205" s="152" t="inlineStr">
        <is>
          <t>Margen bruto DTC belleza/skincare</t>
        </is>
      </c>
      <c r="C205" s="151" t="inlineStr">
        <is>
          <t>%</t>
        </is>
      </c>
      <c r="D205" s="153" t="n">
        <v>65</v>
      </c>
      <c r="E205" s="153" t="n">
        <v>69</v>
      </c>
      <c r="F205" s="153" t="n">
        <v>75</v>
      </c>
      <c r="G205" s="151" t="inlineStr">
        <is>
          <t>https://eightx.co/blog/beauty-ecommerce-margin-benchmarks</t>
        </is>
      </c>
      <c r="H205" s="151" t="inlineStr">
        <is>
          <t>2026</t>
        </is>
      </c>
      <c r="I205" s="152" t="n"/>
      <c r="J205" s="151" t="inlineStr">
        <is>
          <t>Con fuente (ver URL)</t>
        </is>
      </c>
    </row>
    <row r="206" ht="15" customHeight="1" s="106">
      <c r="A206" s="151" t="inlineStr">
        <is>
          <t>dtc_contribucion</t>
        </is>
      </c>
      <c r="B206" s="152" t="inlineStr">
        <is>
          <t>Margen de contribución DTC belleza</t>
        </is>
      </c>
      <c r="C206" s="151" t="inlineStr">
        <is>
          <t>% ventas</t>
        </is>
      </c>
      <c r="D206" s="153" t="n">
        <v>25</v>
      </c>
      <c r="E206" s="153" t="n">
        <v>30</v>
      </c>
      <c r="F206" s="153" t="n">
        <v>35</v>
      </c>
      <c r="G206" s="151" t="inlineStr">
        <is>
          <t>https://eightx.co/blog/beauty-retail-vs-dtc-margins</t>
        </is>
      </c>
      <c r="H206" s="151" t="inlineStr">
        <is>
          <t>2026</t>
        </is>
      </c>
      <c r="I206" s="152" t="n"/>
      <c r="J206" s="151" t="inlineStr">
        <is>
          <t>Con fuente (ver URL)</t>
        </is>
      </c>
    </row>
    <row r="207" ht="15" customHeight="1" s="106">
      <c r="A207" s="151" t="inlineStr">
        <is>
          <t>cac_dtc_eeuu</t>
        </is>
      </c>
      <c r="B207" s="152" t="inlineStr">
        <is>
          <t>CAC DTC belleza EE. UU.</t>
        </is>
      </c>
      <c r="C207" s="151" t="inlineStr">
        <is>
          <t>USD/cliente</t>
        </is>
      </c>
      <c r="D207" s="153" t="n">
        <v>28</v>
      </c>
      <c r="E207" s="153" t="n">
        <v>55</v>
      </c>
      <c r="F207" s="153" t="n">
        <v>90</v>
      </c>
      <c r="G207" s="151" t="inlineStr">
        <is>
          <t>https://commercecatalyst.ai/benchmarks/beauty/</t>
        </is>
      </c>
      <c r="H207" s="151" t="inlineStr">
        <is>
          <t>2026</t>
        </is>
      </c>
      <c r="I207" s="152" t="n"/>
      <c r="J207" s="151" t="inlineStr">
        <is>
          <t>Con fuente (ver URL)</t>
        </is>
      </c>
    </row>
    <row r="208" ht="15" customHeight="1" s="106">
      <c r="A208" s="151" t="inlineStr">
        <is>
          <t>cac_dtc_latam</t>
        </is>
      </c>
      <c r="B208" s="152" t="inlineStr">
        <is>
          <t>CAC DTC marca pequeña LatAm</t>
        </is>
      </c>
      <c r="C208" s="151" t="inlineStr">
        <is>
          <t>USD/cliente</t>
        </is>
      </c>
      <c r="D208" s="153" t="n">
        <v>8</v>
      </c>
      <c r="E208" s="153" t="n">
        <v>15</v>
      </c>
      <c r="F208" s="153" t="n">
        <v>30</v>
      </c>
      <c r="G208" s="151" t="inlineStr">
        <is>
          <t>estimación BBS</t>
        </is>
      </c>
      <c r="H208" s="151" t="inlineStr">
        <is>
          <t>2026</t>
        </is>
      </c>
      <c r="I208" s="152" t="n"/>
      <c r="J208" s="151" t="inlineStr">
        <is>
          <t>Baja (estimación BBS)</t>
        </is>
      </c>
    </row>
    <row r="209" ht="15" customHeight="1" s="106">
      <c r="A209" s="151" t="inlineStr">
        <is>
          <t>margen_minorista</t>
        </is>
      </c>
      <c r="B209" s="152" t="inlineStr">
        <is>
          <t>Margen del minorista especializado</t>
        </is>
      </c>
      <c r="C209" s="151" t="inlineStr">
        <is>
          <t>% PVP</t>
        </is>
      </c>
      <c r="D209" s="153" t="n">
        <v>35</v>
      </c>
      <c r="E209" s="153" t="n">
        <v>40</v>
      </c>
      <c r="F209" s="153" t="n">
        <v>45</v>
      </c>
      <c r="G209" s="151" t="inlineStr">
        <is>
          <t>https://blog.getopener.ai/retailer-margin-expectations-by-channel</t>
        </is>
      </c>
      <c r="H209" s="151" t="inlineStr">
        <is>
          <t>2026</t>
        </is>
      </c>
      <c r="I209" s="152" t="n"/>
      <c r="J209" s="151" t="inlineStr">
        <is>
          <t>Con fuente (ver URL)</t>
        </is>
      </c>
    </row>
    <row r="210" ht="15" customHeight="1" s="106">
      <c r="A210" s="151" t="inlineStr">
        <is>
          <t>margen_distribuidor</t>
        </is>
      </c>
      <c r="B210" s="152" t="inlineStr">
        <is>
          <t>Margen del distribuidor</t>
        </is>
      </c>
      <c r="C210" s="151" t="inlineStr">
        <is>
          <t>% sobre su costo</t>
        </is>
      </c>
      <c r="D210" s="153" t="n">
        <v>15</v>
      </c>
      <c r="E210" s="153" t="n">
        <v>25</v>
      </c>
      <c r="F210" s="153" t="n">
        <v>30</v>
      </c>
      <c r="G210" s="151" t="inlineStr">
        <is>
          <t>https://blog.getopener.ai/true-cost-of-distribution-cpg</t>
        </is>
      </c>
      <c r="H210" s="151" t="inlineStr">
        <is>
          <t>2026</t>
        </is>
      </c>
      <c r="I210" s="152" t="n"/>
      <c r="J210" s="151" t="inlineStr">
        <is>
          <t>Con fuente (ver URL)</t>
        </is>
      </c>
    </row>
    <row r="211" ht="15" customHeight="1" s="106">
      <c r="A211" s="151" t="inlineStr">
        <is>
          <t>broker</t>
        </is>
      </c>
      <c r="B211" s="152" t="inlineStr">
        <is>
          <t>Broker / representante</t>
        </is>
      </c>
      <c r="C211" s="151" t="inlineStr">
        <is>
          <t>% ventas</t>
        </is>
      </c>
      <c r="D211" s="153" t="n">
        <v>3</v>
      </c>
      <c r="E211" s="153" t="n">
        <v>5</v>
      </c>
      <c r="F211" s="153" t="n">
        <v>10</v>
      </c>
      <c r="G211" s="151" t="inlineStr">
        <is>
          <t>https://blog.getopener.ai/true-cost-of-distribution-cpg</t>
        </is>
      </c>
      <c r="H211" s="151" t="inlineStr">
        <is>
          <t>2026</t>
        </is>
      </c>
      <c r="I211" s="152" t="n"/>
      <c r="J211" s="151" t="inlineStr">
        <is>
          <t>Con fuente (ver URL)</t>
        </is>
      </c>
    </row>
    <row r="212" ht="15" customHeight="1" s="106">
      <c r="A212" s="151" t="inlineStr">
        <is>
          <t>trade_spend</t>
        </is>
      </c>
      <c r="B212" s="152" t="inlineStr">
        <is>
          <t>Gasto comercial en retail</t>
        </is>
      </c>
      <c r="C212" s="151" t="inlineStr">
        <is>
          <t>% ventas brutas</t>
        </is>
      </c>
      <c r="D212" s="153" t="n">
        <v>15</v>
      </c>
      <c r="E212" s="153" t="n">
        <v>20</v>
      </c>
      <c r="F212" s="153" t="n">
        <v>25</v>
      </c>
      <c r="G212" s="151" t="inlineStr">
        <is>
          <t>https://blog.getopener.ai/true-cost-of-distribution-cpg</t>
        </is>
      </c>
      <c r="H212" s="151" t="inlineStr">
        <is>
          <t>2026</t>
        </is>
      </c>
      <c r="I212" s="152" t="n"/>
      <c r="J212" s="151" t="inlineStr">
        <is>
          <t>Con fuente (ver URL)</t>
        </is>
      </c>
    </row>
    <row r="213" ht="15" customHeight="1" s="106">
      <c r="A213" s="151" t="inlineStr">
        <is>
          <t>margen_marca_cpg_retail</t>
        </is>
      </c>
      <c r="B213" s="152" t="inlineStr">
        <is>
          <t>Margen bruto marca CPG alimentos en retail</t>
        </is>
      </c>
      <c r="C213" s="151" t="inlineStr">
        <is>
          <t>%</t>
        </is>
      </c>
      <c r="D213" s="153" t="n">
        <v>35</v>
      </c>
      <c r="E213" s="153" t="n">
        <v>42</v>
      </c>
      <c r="F213" s="153" t="n">
        <v>50</v>
      </c>
      <c r="G213" s="151" t="inlineStr">
        <is>
          <t>https://www.trustcultivar.com/resources/healthy-gross-margin-cpg</t>
        </is>
      </c>
      <c r="H213" s="151" t="inlineStr">
        <is>
          <t>2026</t>
        </is>
      </c>
      <c r="I213" s="152" t="n"/>
      <c r="J213" s="151" t="inlineStr">
        <is>
          <t>Con fuente (ver URL)</t>
        </is>
      </c>
    </row>
    <row r="214" ht="15" customHeight="1" s="106">
      <c r="A214" s="151" t="inlineStr">
        <is>
          <t>margen_b2b_commodity</t>
        </is>
      </c>
      <c r="B214" s="152" t="inlineStr">
        <is>
          <t>Margen bruto B2B ingrediente commodity</t>
        </is>
      </c>
      <c r="C214" s="151" t="inlineStr">
        <is>
          <t>%</t>
        </is>
      </c>
      <c r="D214" s="153" t="n">
        <v>15</v>
      </c>
      <c r="E214" s="153" t="n">
        <v>25</v>
      </c>
      <c r="F214" s="153" t="n">
        <v>35</v>
      </c>
      <c r="G214" s="151" t="inlineStr">
        <is>
          <t>estimación BBS</t>
        </is>
      </c>
      <c r="H214" s="151" t="inlineStr">
        <is>
          <t>2026</t>
        </is>
      </c>
      <c r="I214" s="152" t="n"/>
      <c r="J214" s="151" t="inlineStr">
        <is>
          <t>Baja (estimación BBS)</t>
        </is>
      </c>
    </row>
    <row r="215" ht="15" customHeight="1" s="106">
      <c r="A215" s="151" t="inlineStr">
        <is>
          <t>margen_b2b_estandarizado</t>
        </is>
      </c>
      <c r="B215" s="152" t="inlineStr">
        <is>
          <t>Margen bruto B2B ingrediente estandarizado</t>
        </is>
      </c>
      <c r="C215" s="151" t="inlineStr">
        <is>
          <t>%</t>
        </is>
      </c>
      <c r="D215" s="153" t="n">
        <v>40</v>
      </c>
      <c r="E215" s="153" t="n">
        <v>55</v>
      </c>
      <c r="F215" s="153" t="n">
        <v>70</v>
      </c>
      <c r="G215" s="151" t="inlineStr">
        <is>
          <t>estimación BBS</t>
        </is>
      </c>
      <c r="H215" s="151" t="inlineStr">
        <is>
          <t>2026</t>
        </is>
      </c>
      <c r="I215" s="152" t="n"/>
      <c r="J215" s="151" t="inlineStr">
        <is>
          <t>Baja (estimación BBS)</t>
        </is>
      </c>
    </row>
    <row r="216" ht="15" customHeight="1" s="106">
      <c r="A216" s="151" t="inlineStr">
        <is>
          <t>plazo_institucional</t>
        </is>
      </c>
      <c r="B216" s="152" t="inlineStr">
        <is>
          <t>Plazo de pago institucional</t>
        </is>
      </c>
      <c r="C216" s="151" t="inlineStr">
        <is>
          <t>días</t>
        </is>
      </c>
      <c r="D216" s="153" t="n">
        <v>30</v>
      </c>
      <c r="E216" s="153" t="n">
        <v>60</v>
      </c>
      <c r="F216" s="153" t="n">
        <v>90</v>
      </c>
      <c r="G216" s="151" t="inlineStr">
        <is>
          <t>Manuscrito Paso 04</t>
        </is>
      </c>
      <c r="H216" s="151" t="inlineStr">
        <is>
          <t>2026</t>
        </is>
      </c>
      <c r="I216" s="152" t="n"/>
      <c r="J216" s="151" t="inlineStr">
        <is>
          <t>Media (cálculo o supuesto)</t>
        </is>
      </c>
    </row>
    <row r="217" ht="15" customHeight="1" s="106">
      <c r="A217" s="151" t="inlineStr">
        <is>
          <t>plazo_retail</t>
        </is>
      </c>
      <c r="B217" s="152" t="inlineStr">
        <is>
          <t>Plazo de pago retail especializado</t>
        </is>
      </c>
      <c r="C217" s="151" t="inlineStr">
        <is>
          <t>días</t>
        </is>
      </c>
      <c r="D217" s="153" t="n">
        <v>30</v>
      </c>
      <c r="E217" s="153" t="n">
        <v>45</v>
      </c>
      <c r="F217" s="153" t="n">
        <v>60</v>
      </c>
      <c r="G217" s="151" t="inlineStr">
        <is>
          <t>estimación BBS</t>
        </is>
      </c>
      <c r="H217" s="151" t="inlineStr">
        <is>
          <t>2026</t>
        </is>
      </c>
      <c r="I217" s="152" t="n"/>
      <c r="J217" s="151" t="inlineStr">
        <is>
          <t>Baja (estimación BBS)</t>
        </is>
      </c>
    </row>
    <row r="218" ht="15" customHeight="1" s="106">
      <c r="A218" s="151" t="inlineStr">
        <is>
          <t>costo_cobro_90d</t>
        </is>
      </c>
      <c r="B218" s="152" t="inlineStr">
        <is>
          <t>Costo financiero de cobrar a 90 días</t>
        </is>
      </c>
      <c r="C218" s="151" t="inlineStr">
        <is>
          <t>% factura</t>
        </is>
      </c>
      <c r="D218" s="153" t="n">
        <v>2</v>
      </c>
      <c r="E218" s="153" t="n">
        <v>3</v>
      </c>
      <c r="F218" s="153" t="n">
        <v>5</v>
      </c>
      <c r="G218" s="151" t="inlineStr">
        <is>
          <t>estimación BBS</t>
        </is>
      </c>
      <c r="H218" s="151" t="inlineStr">
        <is>
          <t>2026</t>
        </is>
      </c>
      <c r="I218" s="152" t="n"/>
      <c r="J218" s="151" t="inlineStr">
        <is>
          <t>Baja (estimación BBS)</t>
        </is>
      </c>
    </row>
    <row r="220" ht="15" customHeight="1" s="106">
      <c r="A220" s="109" t="inlineStr">
        <is>
          <t>FINANZAS</t>
        </is>
      </c>
      <c r="B220" s="110" t="n"/>
      <c r="C220" s="110" t="n"/>
      <c r="D220" s="110" t="n"/>
      <c r="E220" s="110" t="n"/>
      <c r="F220" s="110" t="n"/>
      <c r="G220" s="110" t="n"/>
      <c r="H220" s="110" t="n"/>
      <c r="I220" s="110" t="n"/>
      <c r="J220" s="110" t="n"/>
    </row>
    <row r="221" ht="15" customHeight="1" s="106">
      <c r="A221" s="151" t="inlineStr">
        <is>
          <t>crp_peru</t>
        </is>
      </c>
      <c r="B221" s="152" t="inlineStr">
        <is>
          <t>Prima riesgo país Perú (Damodaran)</t>
        </is>
      </c>
      <c r="C221" s="151" t="inlineStr">
        <is>
          <t>%</t>
        </is>
      </c>
      <c r="D221" s="153" t="n">
        <v>2.07</v>
      </c>
      <c r="E221" s="153" t="n">
        <v>2.07</v>
      </c>
      <c r="F221" s="153" t="n">
        <v>2.07</v>
      </c>
      <c r="G221" s="151" t="inlineStr">
        <is>
          <t>https://pages.stern.nyu.edu/~adamodar/New_Home_Page/datafile/ctryprem.html</t>
        </is>
      </c>
      <c r="H221" s="151" t="inlineStr">
        <is>
          <t>2026</t>
        </is>
      </c>
      <c r="I221" s="152" t="inlineStr">
        <is>
          <t>Baa1; ERP total 6.30%</t>
        </is>
      </c>
      <c r="J221" s="151" t="inlineStr">
        <is>
          <t>Con fuente (ver URL)</t>
        </is>
      </c>
    </row>
    <row r="222" ht="15" customHeight="1" s="106">
      <c r="A222" s="151" t="inlineStr">
        <is>
          <t>crp_colombia</t>
        </is>
      </c>
      <c r="B222" s="152" t="inlineStr">
        <is>
          <t>Prima riesgo país Colombia</t>
        </is>
      </c>
      <c r="C222" s="151" t="inlineStr">
        <is>
          <t>%</t>
        </is>
      </c>
      <c r="D222" s="153" t="n">
        <v>2.85</v>
      </c>
      <c r="E222" s="153" t="n">
        <v>2.85</v>
      </c>
      <c r="F222" s="153" t="n">
        <v>2.85</v>
      </c>
      <c r="G222" s="151" t="inlineStr">
        <is>
          <t>https://pages.stern.nyu.edu/~adamodar/New_Home_Page/datafile/ctryprem.html</t>
        </is>
      </c>
      <c r="H222" s="151" t="inlineStr">
        <is>
          <t>2026</t>
        </is>
      </c>
      <c r="I222" s="152" t="inlineStr">
        <is>
          <t>Baa3; ERP total 7.08%</t>
        </is>
      </c>
      <c r="J222" s="151" t="inlineStr">
        <is>
          <t>Con fuente (ver URL)</t>
        </is>
      </c>
    </row>
    <row r="223" ht="15" customHeight="1" s="106">
      <c r="A223" s="151" t="inlineStr">
        <is>
          <t>crp_brasil</t>
        </is>
      </c>
      <c r="B223" s="152" t="inlineStr">
        <is>
          <t>Prima riesgo país Brasil</t>
        </is>
      </c>
      <c r="C223" s="151" t="inlineStr">
        <is>
          <t>%</t>
        </is>
      </c>
      <c r="D223" s="153" t="n">
        <v>3.24</v>
      </c>
      <c r="E223" s="153" t="n">
        <v>3.24</v>
      </c>
      <c r="F223" s="153" t="n">
        <v>3.24</v>
      </c>
      <c r="G223" s="151" t="inlineStr">
        <is>
          <t>https://pages.stern.nyu.edu/~adamodar/New_Home_Page/datafile/ctryprem.html</t>
        </is>
      </c>
      <c r="H223" s="151" t="inlineStr">
        <is>
          <t>2026</t>
        </is>
      </c>
      <c r="I223" s="152" t="inlineStr">
        <is>
          <t>Ba1; ERP total 7.47%</t>
        </is>
      </c>
      <c r="J223" s="151" t="inlineStr">
        <is>
          <t>Con fuente (ver URL)</t>
        </is>
      </c>
    </row>
    <row r="224" ht="15" customHeight="1" s="106">
      <c r="A224" s="151" t="inlineStr">
        <is>
          <t>crp_ecuador</t>
        </is>
      </c>
      <c r="B224" s="152" t="inlineStr">
        <is>
          <t>Prima riesgo país Ecuador</t>
        </is>
      </c>
      <c r="C224" s="151" t="inlineStr">
        <is>
          <t>%</t>
        </is>
      </c>
      <c r="D224" s="153" t="n">
        <v>12.95</v>
      </c>
      <c r="E224" s="153" t="n">
        <v>12.95</v>
      </c>
      <c r="F224" s="153" t="n">
        <v>12.95</v>
      </c>
      <c r="G224" s="151" t="inlineStr">
        <is>
          <t>https://pages.stern.nyu.edu/~adamodar/New_Home_Page/datafile/ctryprem.html</t>
        </is>
      </c>
      <c r="H224" s="151" t="inlineStr">
        <is>
          <t>2026</t>
        </is>
      </c>
      <c r="I224" s="152" t="inlineStr">
        <is>
          <t>Caa3; ERP total 17.18%</t>
        </is>
      </c>
      <c r="J224" s="151" t="inlineStr">
        <is>
          <t>Con fuente (ver URL)</t>
        </is>
      </c>
    </row>
    <row r="225" ht="15" customHeight="1" s="106">
      <c r="A225" s="151" t="inlineStr">
        <is>
          <t>crp_bolivia</t>
        </is>
      </c>
      <c r="B225" s="152" t="inlineStr">
        <is>
          <t>Prima riesgo país Bolivia</t>
        </is>
      </c>
      <c r="C225" s="151" t="inlineStr">
        <is>
          <t>%</t>
        </is>
      </c>
      <c r="D225" s="153" t="n">
        <v>15.54</v>
      </c>
      <c r="E225" s="153" t="n">
        <v>15.54</v>
      </c>
      <c r="F225" s="153" t="n">
        <v>15.54</v>
      </c>
      <c r="G225" s="151" t="inlineStr">
        <is>
          <t>https://pages.stern.nyu.edu/~adamodar/New_Home_Page/datafile/ctryprem.html</t>
        </is>
      </c>
      <c r="H225" s="151" t="inlineStr">
        <is>
          <t>2026</t>
        </is>
      </c>
      <c r="I225" s="152" t="inlineStr">
        <is>
          <t>Ca; ERP total 19.77%</t>
        </is>
      </c>
      <c r="J225" s="151" t="inlineStr">
        <is>
          <t>Con fuente (ver URL)</t>
        </is>
      </c>
    </row>
    <row r="226" ht="15" customHeight="1" s="106">
      <c r="A226" s="151" t="inlineStr">
        <is>
          <t>erp_madura</t>
        </is>
      </c>
      <c r="B226" s="152" t="inlineStr">
        <is>
          <t>ERP de mercado maduro</t>
        </is>
      </c>
      <c r="C226" s="151" t="inlineStr">
        <is>
          <t>%</t>
        </is>
      </c>
      <c r="D226" s="153" t="n">
        <v>4.23</v>
      </c>
      <c r="E226" s="153" t="n">
        <v>4.23</v>
      </c>
      <c r="F226" s="153" t="n">
        <v>4.23</v>
      </c>
      <c r="G226" s="151" t="inlineStr">
        <is>
          <t>https://pages.stern.nyu.edu/~adamodar/New_Home_Page/datafile/ctryprem.html</t>
        </is>
      </c>
      <c r="H226" s="151" t="inlineStr">
        <is>
          <t>2026</t>
        </is>
      </c>
      <c r="I226" s="152" t="inlineStr">
        <is>
          <t>Derivada: 6.30 - 2.07</t>
        </is>
      </c>
      <c r="J226" s="151" t="inlineStr">
        <is>
          <t>Con fuente (ver URL)</t>
        </is>
      </c>
    </row>
    <row r="227" ht="15" customHeight="1" s="106">
      <c r="A227" s="151" t="inlineStr">
        <is>
          <t>embi_peru</t>
        </is>
      </c>
      <c r="B227" s="152" t="inlineStr">
        <is>
          <t>EMBI Perú</t>
        </is>
      </c>
      <c r="C227" s="151" t="inlineStr">
        <is>
          <t>pb</t>
        </is>
      </c>
      <c r="D227" s="153" t="n">
        <v>109</v>
      </c>
      <c r="E227" s="153" t="n">
        <v>113</v>
      </c>
      <c r="F227" s="153" t="n">
        <v>137</v>
      </c>
      <c r="G227" s="151" t="inlineStr">
        <is>
          <t>https://revistamercado.do/empresas/riesgo-pais-en-america-latina-2026-que-paises-mejoraron-en-el-primer-semestre/</t>
        </is>
      </c>
      <c r="H227" s="151" t="inlineStr">
        <is>
          <t>2026</t>
        </is>
      </c>
      <c r="I227" s="152" t="inlineStr">
        <is>
          <t>jun-2026 109; jul-2026 113</t>
        </is>
      </c>
      <c r="J227" s="151" t="inlineStr">
        <is>
          <t>Con fuente (ver URL)</t>
        </is>
      </c>
    </row>
    <row r="228" ht="15" customHeight="1" s="106">
      <c r="A228" s="151" t="inlineStr">
        <is>
          <t>embi_colombia</t>
        </is>
      </c>
      <c r="B228" s="152" t="inlineStr">
        <is>
          <t>EMBI Colombia</t>
        </is>
      </c>
      <c r="C228" s="151" t="inlineStr">
        <is>
          <t>pb</t>
        </is>
      </c>
      <c r="D228" s="153" t="n">
        <v>190</v>
      </c>
      <c r="E228" s="153" t="n">
        <v>195</v>
      </c>
      <c r="F228" s="153" t="n">
        <v>294</v>
      </c>
      <c r="G228" s="151" t="inlineStr">
        <is>
          <t>https://revistamercado.do/empresas/riesgo-pais-en-america-latina-2026-que-paises-mejoraron-en-el-primer-semestre/</t>
        </is>
      </c>
      <c r="H228" s="151" t="inlineStr">
        <is>
          <t>2026</t>
        </is>
      </c>
      <c r="I228" s="152" t="n"/>
      <c r="J228" s="151" t="inlineStr">
        <is>
          <t>Con fuente (ver URL)</t>
        </is>
      </c>
    </row>
    <row r="229" ht="15" customHeight="1" s="106">
      <c r="A229" s="151" t="inlineStr">
        <is>
          <t>embi_brasil</t>
        </is>
      </c>
      <c r="B229" s="152" t="inlineStr">
        <is>
          <t>EMBI Brasil</t>
        </is>
      </c>
      <c r="C229" s="151" t="inlineStr">
        <is>
          <t>pb</t>
        </is>
      </c>
      <c r="D229" s="153" t="n">
        <v>177</v>
      </c>
      <c r="E229" s="153" t="n">
        <v>177</v>
      </c>
      <c r="F229" s="153" t="n">
        <v>199</v>
      </c>
      <c r="G229" s="151" t="inlineStr">
        <is>
          <t>https://revistamercado.do/empresas/riesgo-pais-en-america-latina-2026-que-paises-mejoraron-en-el-primer-semestre/</t>
        </is>
      </c>
      <c r="H229" s="151" t="inlineStr">
        <is>
          <t>2026</t>
        </is>
      </c>
      <c r="I229" s="152" t="n"/>
      <c r="J229" s="151" t="inlineStr">
        <is>
          <t>Con fuente (ver URL)</t>
        </is>
      </c>
    </row>
    <row r="230" ht="15" customHeight="1" s="106">
      <c r="A230" s="151" t="inlineStr">
        <is>
          <t>embi_ecuador</t>
        </is>
      </c>
      <c r="B230" s="152" t="inlineStr">
        <is>
          <t>EMBI Ecuador</t>
        </is>
      </c>
      <c r="C230" s="151" t="inlineStr">
        <is>
          <t>pb</t>
        </is>
      </c>
      <c r="D230" s="153" t="n">
        <v>415</v>
      </c>
      <c r="E230" s="153" t="n">
        <v>415</v>
      </c>
      <c r="F230" s="153" t="n">
        <v>484</v>
      </c>
      <c r="G230" s="151" t="inlineStr">
        <is>
          <t>https://revistamercado.do/empresas/riesgo-pais-en-america-latina-2026-que-paises-mejoraron-en-el-primer-semestre/</t>
        </is>
      </c>
      <c r="H230" s="151" t="inlineStr">
        <is>
          <t>2026</t>
        </is>
      </c>
      <c r="I230" s="152" t="n"/>
      <c r="J230" s="151" t="inlineStr">
        <is>
          <t>Con fuente (ver URL)</t>
        </is>
      </c>
    </row>
    <row r="231" ht="15" customHeight="1" s="106">
      <c r="A231" s="151" t="inlineStr">
        <is>
          <t>embi_bolivia</t>
        </is>
      </c>
      <c r="B231" s="152" t="inlineStr">
        <is>
          <t>EMBI Bolivia</t>
        </is>
      </c>
      <c r="C231" s="151" t="inlineStr">
        <is>
          <t>pb</t>
        </is>
      </c>
      <c r="D231" s="153" t="n">
        <v>424</v>
      </c>
      <c r="E231" s="153" t="n">
        <v>424</v>
      </c>
      <c r="F231" s="153" t="n">
        <v>673</v>
      </c>
      <c r="G231" s="151" t="inlineStr">
        <is>
          <t>https://revistamercado.do/empresas/riesgo-pais-en-america-latina-2026-que-paises-mejoraron-en-el-primer-semestre/</t>
        </is>
      </c>
      <c r="H231" s="151" t="inlineStr">
        <is>
          <t>2026</t>
        </is>
      </c>
      <c r="I231" s="152" t="n"/>
      <c r="J231" s="151" t="inlineStr">
        <is>
          <t>Con fuente (ver URL)</t>
        </is>
      </c>
    </row>
    <row r="232" ht="15" customHeight="1" s="106">
      <c r="A232" s="151" t="inlineStr">
        <is>
          <t>rf_usa</t>
        </is>
      </c>
      <c r="B232" s="152" t="inlineStr">
        <is>
          <t>Tasa libre de riesgo (UST 10 años)</t>
        </is>
      </c>
      <c r="C232" s="151" t="inlineStr">
        <is>
          <t>%</t>
        </is>
      </c>
      <c r="D232" s="153" t="n">
        <v>4</v>
      </c>
      <c r="E232" s="153" t="n">
        <v>4.3</v>
      </c>
      <c r="F232" s="153" t="n">
        <v>4.7</v>
      </c>
      <c r="G232" s="151" t="inlineStr">
        <is>
          <t>estimación BBS</t>
        </is>
      </c>
      <c r="H232" s="151" t="inlineStr">
        <is>
          <t>2026</t>
        </is>
      </c>
      <c r="I232" s="152" t="inlineStr">
        <is>
          <t>Actualizar con dato del día</t>
        </is>
      </c>
      <c r="J232" s="151" t="inlineStr">
        <is>
          <t>Baja (estimación BBS)</t>
        </is>
      </c>
    </row>
    <row r="233" ht="15" customHeight="1" s="106">
      <c r="A233" s="151" t="inlineStr">
        <is>
          <t>beta_sector</t>
        </is>
      </c>
      <c r="B233" s="152" t="inlineStr">
        <is>
          <t>Beta apalancada alimentos / cuidado personal</t>
        </is>
      </c>
      <c r="C233" s="151" t="inlineStr">
        <is>
          <t>x</t>
        </is>
      </c>
      <c r="D233" s="153" t="n">
        <v>0.7</v>
      </c>
      <c r="E233" s="153" t="n">
        <v>0.9</v>
      </c>
      <c r="F233" s="153" t="n">
        <v>1.1</v>
      </c>
      <c r="G233" s="151" t="inlineStr">
        <is>
          <t>https://pages.stern.nyu.edu/~adamodar/New_Home_Page/datafile/BetasGlobal.html</t>
        </is>
      </c>
      <c r="H233" s="151" t="inlineStr">
        <is>
          <t>2026</t>
        </is>
      </c>
      <c r="I233" s="152" t="inlineStr">
        <is>
          <t>Verificar valor exacto</t>
        </is>
      </c>
      <c r="J233" s="151" t="inlineStr">
        <is>
          <t>Con fuente (ver URL)</t>
        </is>
      </c>
    </row>
    <row r="234" ht="15" customHeight="1" s="106">
      <c r="A234" s="151" t="inlineStr">
        <is>
          <t>prima_tamano</t>
        </is>
      </c>
      <c r="B234" s="152" t="inlineStr">
        <is>
          <t>Prima por tamaño e iliquidez pyme</t>
        </is>
      </c>
      <c r="C234" s="151" t="inlineStr">
        <is>
          <t>%</t>
        </is>
      </c>
      <c r="D234" s="153" t="n">
        <v>3</v>
      </c>
      <c r="E234" s="153" t="n">
        <v>5</v>
      </c>
      <c r="F234" s="153" t="n">
        <v>8</v>
      </c>
      <c r="G234" s="151" t="inlineStr">
        <is>
          <t>estimación BBS</t>
        </is>
      </c>
      <c r="H234" s="151" t="inlineStr">
        <is>
          <t>2026</t>
        </is>
      </c>
      <c r="I234" s="152" t="n"/>
      <c r="J234" s="151" t="inlineStr">
        <is>
          <t>Baja (estimación BBS)</t>
        </is>
      </c>
    </row>
    <row r="235" ht="15" customHeight="1" s="106">
      <c r="A235" s="151" t="inlineStr">
        <is>
          <t>ke_pyme_pe_co_br</t>
        </is>
      </c>
      <c r="B235" s="152" t="inlineStr">
        <is>
          <t>Costo del capital propio pyme Perú/Colombia/Brasil</t>
        </is>
      </c>
      <c r="C235" s="151" t="inlineStr">
        <is>
          <t>% USD</t>
        </is>
      </c>
      <c r="D235" s="153" t="n">
        <v>12</v>
      </c>
      <c r="E235" s="153" t="n">
        <v>16</v>
      </c>
      <c r="F235" s="153" t="n">
        <v>21</v>
      </c>
      <c r="G235" s="151" t="inlineStr">
        <is>
          <t>estimación BBS</t>
        </is>
      </c>
      <c r="H235" s="151" t="inlineStr">
        <is>
          <t>2026</t>
        </is>
      </c>
      <c r="I235" s="152" t="inlineStr">
        <is>
          <t>Ke = Rf + b*ERP + CRP + prima tamaño</t>
        </is>
      </c>
      <c r="J235" s="151" t="inlineStr">
        <is>
          <t>Baja (estimación BBS)</t>
        </is>
      </c>
    </row>
    <row r="236" ht="15" customHeight="1" s="106">
      <c r="A236" s="151" t="inlineStr">
        <is>
          <t>ke_pyme_ec_bo</t>
        </is>
      </c>
      <c r="B236" s="152" t="inlineStr">
        <is>
          <t>Costo del capital propio pyme Ecuador/Bolivia</t>
        </is>
      </c>
      <c r="C236" s="151" t="inlineStr">
        <is>
          <t>% USD</t>
        </is>
      </c>
      <c r="D236" s="153" t="n">
        <v>16</v>
      </c>
      <c r="E236" s="153" t="n">
        <v>20</v>
      </c>
      <c r="F236" s="153" t="n">
        <v>30</v>
      </c>
      <c r="G236" s="151" t="inlineStr">
        <is>
          <t>estimación BBS</t>
        </is>
      </c>
      <c r="H236" s="151" t="inlineStr">
        <is>
          <t>2026</t>
        </is>
      </c>
      <c r="I236" s="152" t="inlineStr">
        <is>
          <t>CRP = min(Damodaran, 1.5*EMBI)</t>
        </is>
      </c>
      <c r="J236" s="151" t="inlineStr">
        <is>
          <t>Baja (estimación BBS)</t>
        </is>
      </c>
    </row>
    <row r="237" ht="15" customHeight="1" s="106">
      <c r="A237" s="151" t="inlineStr">
        <is>
          <t>vc_semilla</t>
        </is>
      </c>
      <c r="B237" s="152" t="inlineStr">
        <is>
          <t>Retorno objetivo VC: startup/semilla</t>
        </is>
      </c>
      <c r="C237" s="151" t="inlineStr">
        <is>
          <t>%</t>
        </is>
      </c>
      <c r="D237" s="153" t="n">
        <v>50</v>
      </c>
      <c r="E237" s="153" t="n">
        <v>60</v>
      </c>
      <c r="F237" s="153" t="n">
        <v>70</v>
      </c>
      <c r="G237" s="151" t="inlineStr">
        <is>
          <t>https://pages.stern.nyu.edu/~adamodar/pdfiles/papers/younggrowth.pdf</t>
        </is>
      </c>
      <c r="H237" s="151" t="inlineStr">
        <is>
          <t>2026</t>
        </is>
      </c>
      <c r="I237" s="152" t="inlineStr">
        <is>
          <t>LatAm: +3 a 5 pp (BBS)</t>
        </is>
      </c>
      <c r="J237" s="151" t="inlineStr">
        <is>
          <t>Con fuente (ver URL)</t>
        </is>
      </c>
    </row>
    <row r="238" ht="15" customHeight="1" s="106">
      <c r="A238" s="151" t="inlineStr">
        <is>
          <t>vc_primera</t>
        </is>
      </c>
      <c r="B238" s="152" t="inlineStr">
        <is>
          <t>Retorno objetivo VC: primera etapa</t>
        </is>
      </c>
      <c r="C238" s="151" t="inlineStr">
        <is>
          <t>%</t>
        </is>
      </c>
      <c r="D238" s="153" t="n">
        <v>40</v>
      </c>
      <c r="E238" s="153" t="n">
        <v>50</v>
      </c>
      <c r="F238" s="153" t="n">
        <v>60</v>
      </c>
      <c r="G238" s="151" t="inlineStr">
        <is>
          <t>https://pages.stern.nyu.edu/~adamodar/pdfiles/papers/younggrowth.pdf</t>
        </is>
      </c>
      <c r="H238" s="151" t="inlineStr">
        <is>
          <t>2026</t>
        </is>
      </c>
      <c r="I238" s="152" t="n"/>
      <c r="J238" s="151" t="inlineStr">
        <is>
          <t>Con fuente (ver URL)</t>
        </is>
      </c>
    </row>
    <row r="239" ht="15" customHeight="1" s="106">
      <c r="A239" s="151" t="inlineStr">
        <is>
          <t>vc_segunda</t>
        </is>
      </c>
      <c r="B239" s="152" t="inlineStr">
        <is>
          <t>Retorno objetivo VC: expansión</t>
        </is>
      </c>
      <c r="C239" s="151" t="inlineStr">
        <is>
          <t>%</t>
        </is>
      </c>
      <c r="D239" s="153" t="n">
        <v>35</v>
      </c>
      <c r="E239" s="153" t="n">
        <v>42</v>
      </c>
      <c r="F239" s="153" t="n">
        <v>50</v>
      </c>
      <c r="G239" s="151" t="inlineStr">
        <is>
          <t>https://pages.stern.nyu.edu/~adamodar/pdfiles/papers/younggrowth.pdf</t>
        </is>
      </c>
      <c r="H239" s="151" t="inlineStr">
        <is>
          <t>2026</t>
        </is>
      </c>
      <c r="I239" s="152" t="n"/>
      <c r="J239" s="151" t="inlineStr">
        <is>
          <t>Con fuente (ver URL)</t>
        </is>
      </c>
    </row>
    <row r="240" ht="15" customHeight="1" s="106">
      <c r="A240" s="151" t="inlineStr">
        <is>
          <t>vc_puente</t>
        </is>
      </c>
      <c r="B240" s="152" t="inlineStr">
        <is>
          <t>Retorno objetivo VC: puente / pre-IPO</t>
        </is>
      </c>
      <c r="C240" s="151" t="inlineStr">
        <is>
          <t>%</t>
        </is>
      </c>
      <c r="D240" s="153" t="n">
        <v>25</v>
      </c>
      <c r="E240" s="153" t="n">
        <v>30</v>
      </c>
      <c r="F240" s="153" t="n">
        <v>35</v>
      </c>
      <c r="G240" s="151" t="inlineStr">
        <is>
          <t>https://pages.stern.nyu.edu/~adamodar/pdfiles/papers/younggrowth.pdf</t>
        </is>
      </c>
      <c r="H240" s="151" t="inlineStr">
        <is>
          <t>2026</t>
        </is>
      </c>
      <c r="I240" s="152" t="n"/>
      <c r="J240" s="151" t="inlineStr">
        <is>
          <t>Con fuente (ver URL)</t>
        </is>
      </c>
    </row>
    <row r="241" ht="15" customHeight="1" s="106">
      <c r="A241" s="151" t="inlineStr">
        <is>
          <t>evs_food_em</t>
        </is>
      </c>
      <c r="B241" s="152" t="inlineStr">
        <is>
          <t>EV/Ventas Food Processing emergentes (cotizadas)</t>
        </is>
      </c>
      <c r="C241" s="151" t="inlineStr">
        <is>
          <t>x</t>
        </is>
      </c>
      <c r="D241" s="153" t="n">
        <v>1.32</v>
      </c>
      <c r="E241" s="153" t="n">
        <v>1.32</v>
      </c>
      <c r="F241" s="153" t="n">
        <v>1.32</v>
      </c>
      <c r="G241" s="151" t="inlineStr">
        <is>
          <t>https://pages.stern.nyu.edu/~adamodar/New_Home_Page/datacurrent.html</t>
        </is>
      </c>
      <c r="H241" s="151" t="inlineStr">
        <is>
          <t>2026</t>
        </is>
      </c>
      <c r="I241" s="152" t="inlineStr">
        <is>
          <t>EE. UU. 1.47x</t>
        </is>
      </c>
      <c r="J241" s="151" t="inlineStr">
        <is>
          <t>Con fuente (ver URL)</t>
        </is>
      </c>
    </row>
    <row r="242" ht="15" customHeight="1" s="106">
      <c r="A242" s="151" t="inlineStr">
        <is>
          <t>evebitda_food_em</t>
        </is>
      </c>
      <c r="B242" s="152" t="inlineStr">
        <is>
          <t>EV/EBITDA Food Processing emergentes</t>
        </is>
      </c>
      <c r="C242" s="151" t="inlineStr">
        <is>
          <t>x</t>
        </is>
      </c>
      <c r="D242" s="153" t="n">
        <v>11.1</v>
      </c>
      <c r="E242" s="153" t="n">
        <v>11.1</v>
      </c>
      <c r="F242" s="153" t="n">
        <v>11.1</v>
      </c>
      <c r="G242" s="151" t="inlineStr">
        <is>
          <t>https://pages.stern.nyu.edu/~adamodar/New_Home_Page/datacurrent.html</t>
        </is>
      </c>
      <c r="H242" s="151" t="inlineStr">
        <is>
          <t>2026</t>
        </is>
      </c>
      <c r="I242" s="152" t="inlineStr">
        <is>
          <t>EE. UU. 10.0x</t>
        </is>
      </c>
      <c r="J242" s="151" t="inlineStr">
        <is>
          <t>Con fuente (ver URL)</t>
        </is>
      </c>
    </row>
    <row r="243" ht="15" customHeight="1" s="106">
      <c r="A243" s="151" t="inlineStr">
        <is>
          <t>evs_household_em</t>
        </is>
      </c>
      <c r="B243" s="152" t="inlineStr">
        <is>
          <t>EV/Ventas Household Products emergentes</t>
        </is>
      </c>
      <c r="C243" s="151" t="inlineStr">
        <is>
          <t>x</t>
        </is>
      </c>
      <c r="D243" s="153" t="n">
        <v>3.25</v>
      </c>
      <c r="E243" s="153" t="n">
        <v>3.25</v>
      </c>
      <c r="F243" s="153" t="n">
        <v>3.25</v>
      </c>
      <c r="G243" s="151" t="inlineStr">
        <is>
          <t>https://pages.stern.nyu.edu/~adamodar/New_Home_Page/datacurrent.html</t>
        </is>
      </c>
      <c r="H243" s="151" t="inlineStr">
        <is>
          <t>2026</t>
        </is>
      </c>
      <c r="I243" s="152" t="inlineStr">
        <is>
          <t>EE. UU. 3.06x</t>
        </is>
      </c>
      <c r="J243" s="151" t="inlineStr">
        <is>
          <t>Con fuente (ver URL)</t>
        </is>
      </c>
    </row>
    <row r="244" ht="15" customHeight="1" s="106">
      <c r="A244" s="151" t="inlineStr">
        <is>
          <t>evebitda_household_em</t>
        </is>
      </c>
      <c r="B244" s="152" t="inlineStr">
        <is>
          <t>EV/EBITDA Household Products emergentes</t>
        </is>
      </c>
      <c r="C244" s="151" t="inlineStr">
        <is>
          <t>x</t>
        </is>
      </c>
      <c r="D244" s="153" t="n">
        <v>22</v>
      </c>
      <c r="E244" s="153" t="n">
        <v>22</v>
      </c>
      <c r="F244" s="153" t="n">
        <v>22</v>
      </c>
      <c r="G244" s="151" t="inlineStr">
        <is>
          <t>https://pages.stern.nyu.edu/~adamodar/New_Home_Page/datacurrent.html</t>
        </is>
      </c>
      <c r="H244" s="151" t="inlineStr">
        <is>
          <t>2026</t>
        </is>
      </c>
      <c r="I244" s="152" t="inlineStr">
        <is>
          <t>EE. UU. 13.2x</t>
        </is>
      </c>
      <c r="J244" s="151" t="inlineStr">
        <is>
          <t>Con fuente (ver URL)</t>
        </is>
      </c>
    </row>
    <row r="245" ht="15" customHeight="1" s="106">
      <c r="A245" s="151" t="inlineStr">
        <is>
          <t>evs_farming_em</t>
        </is>
      </c>
      <c r="B245" s="152" t="inlineStr">
        <is>
          <t>EV/Ventas Farming/Agriculture emergentes</t>
        </is>
      </c>
      <c r="C245" s="151" t="inlineStr">
        <is>
          <t>x</t>
        </is>
      </c>
      <c r="D245" s="153" t="n">
        <v>1.07</v>
      </c>
      <c r="E245" s="153" t="n">
        <v>1.07</v>
      </c>
      <c r="F245" s="153" t="n">
        <v>1.07</v>
      </c>
      <c r="G245" s="151" t="inlineStr">
        <is>
          <t>https://pages.stern.nyu.edu/~adamodar/New_Home_Page/datacurrent.html</t>
        </is>
      </c>
      <c r="H245" s="151" t="inlineStr">
        <is>
          <t>2026</t>
        </is>
      </c>
      <c r="I245" s="152" t="inlineStr">
        <is>
          <t>EV/EBITDA 10.6x</t>
        </is>
      </c>
      <c r="J245" s="151" t="inlineStr">
        <is>
          <t>Con fuente (ver URL)</t>
        </is>
      </c>
    </row>
    <row r="246" ht="15" customHeight="1" s="106">
      <c r="A246" s="151" t="inlineStr">
        <is>
          <t>evs_pyme_ingredientes</t>
        </is>
      </c>
      <c r="B246" s="152" t="inlineStr">
        <is>
          <t>EV/Ventas pyme privada ingredientes/alimentos LatAm</t>
        </is>
      </c>
      <c r="C246" s="151" t="inlineStr">
        <is>
          <t>x</t>
        </is>
      </c>
      <c r="D246" s="153" t="n">
        <v>0.5</v>
      </c>
      <c r="E246" s="153" t="n">
        <v>1</v>
      </c>
      <c r="F246" s="153" t="n">
        <v>1.5</v>
      </c>
      <c r="G246" s="151" t="inlineStr">
        <is>
          <t>estimación BBS</t>
        </is>
      </c>
      <c r="H246" s="151" t="inlineStr">
        <is>
          <t>2026</t>
        </is>
      </c>
      <c r="I246" s="152" t="inlineStr">
        <is>
          <t>Descuento 30-50% por tamaño e iliquidez</t>
        </is>
      </c>
      <c r="J246" s="151" t="inlineStr">
        <is>
          <t>Baja (estimación BBS)</t>
        </is>
      </c>
    </row>
    <row r="247" ht="15" customHeight="1" s="106">
      <c r="A247" s="151" t="inlineStr">
        <is>
          <t>evs_pyme_cosmetica</t>
        </is>
      </c>
      <c r="B247" s="152" t="inlineStr">
        <is>
          <t>EV/Ventas pyme privada marca cosmética LatAm (margen &gt;60%)</t>
        </is>
      </c>
      <c r="C247" s="151" t="inlineStr">
        <is>
          <t>x</t>
        </is>
      </c>
      <c r="D247" s="153" t="n">
        <v>1</v>
      </c>
      <c r="E247" s="153" t="n">
        <v>2</v>
      </c>
      <c r="F247" s="153" t="n">
        <v>3</v>
      </c>
      <c r="G247" s="151" t="inlineStr">
        <is>
          <t>estimación BBS</t>
        </is>
      </c>
      <c r="H247" s="151" t="inlineStr">
        <is>
          <t>2026</t>
        </is>
      </c>
      <c r="I247" s="152" t="n"/>
      <c r="J247" s="151" t="inlineStr">
        <is>
          <t>Baja (estimación BBS)</t>
        </is>
      </c>
    </row>
    <row r="248" ht="15" customHeight="1" s="106">
      <c r="A248" s="151" t="inlineStr">
        <is>
          <t>evebitda_pyme</t>
        </is>
      </c>
      <c r="B248" s="152" t="inlineStr">
        <is>
          <t>EV/EBITDA pyme privada LatAm</t>
        </is>
      </c>
      <c r="C248" s="151" t="inlineStr">
        <is>
          <t>x</t>
        </is>
      </c>
      <c r="D248" s="153" t="n">
        <v>4</v>
      </c>
      <c r="E248" s="153" t="n">
        <v>6</v>
      </c>
      <c r="F248" s="153" t="n">
        <v>8</v>
      </c>
      <c r="G248" s="151" t="inlineStr">
        <is>
          <t>estimación BBS</t>
        </is>
      </c>
      <c r="H248" s="151" t="inlineStr">
        <is>
          <t>2026</t>
        </is>
      </c>
      <c r="I248" s="152" t="n"/>
      <c r="J248" s="151" t="inlineStr">
        <is>
          <t>Baja (estimación BBS)</t>
        </is>
      </c>
    </row>
    <row r="249" ht="15" customHeight="1" s="106">
      <c r="A249" s="151" t="inlineStr">
        <is>
          <t>cf_peru</t>
        </is>
      </c>
      <c r="B249" s="152" t="inlineStr">
        <is>
          <t>Costos fijos operación mínima Perú</t>
        </is>
      </c>
      <c r="C249" s="151" t="inlineStr">
        <is>
          <t>USD/mes</t>
        </is>
      </c>
      <c r="D249" s="153" t="n">
        <v>2900</v>
      </c>
      <c r="E249" s="153" t="n">
        <v>4200</v>
      </c>
      <c r="F249" s="153" t="n">
        <v>5400</v>
      </c>
      <c r="G249" s="151" t="inlineStr">
        <is>
          <t>estimación BBS</t>
        </is>
      </c>
      <c r="H249" s="151" t="inlineStr">
        <is>
          <t>2026</t>
        </is>
      </c>
      <c r="I249" s="152" t="n"/>
      <c r="J249" s="151" t="inlineStr">
        <is>
          <t>Baja (estimación BBS)</t>
        </is>
      </c>
    </row>
    <row r="250" ht="15" customHeight="1" s="106">
      <c r="A250" s="151" t="inlineStr">
        <is>
          <t>cf_colombia</t>
        </is>
      </c>
      <c r="B250" s="152" t="inlineStr">
        <is>
          <t>Costos fijos operación mínima Colombia</t>
        </is>
      </c>
      <c r="C250" s="151" t="inlineStr">
        <is>
          <t>USD/mes</t>
        </is>
      </c>
      <c r="D250" s="153" t="n">
        <v>3100</v>
      </c>
      <c r="E250" s="153" t="n">
        <v>4400</v>
      </c>
      <c r="F250" s="153" t="n">
        <v>5750</v>
      </c>
      <c r="G250" s="151" t="inlineStr">
        <is>
          <t>estimación BBS</t>
        </is>
      </c>
      <c r="H250" s="151" t="inlineStr">
        <is>
          <t>2026</t>
        </is>
      </c>
      <c r="I250" s="152" t="n"/>
      <c r="J250" s="151" t="inlineStr">
        <is>
          <t>Baja (estimación BBS)</t>
        </is>
      </c>
    </row>
    <row r="251" ht="15" customHeight="1" s="106">
      <c r="A251" s="151" t="inlineStr">
        <is>
          <t>cf_ecuador</t>
        </is>
      </c>
      <c r="B251" s="152" t="inlineStr">
        <is>
          <t>Costos fijos operación mínima Ecuador</t>
        </is>
      </c>
      <c r="C251" s="151" t="inlineStr">
        <is>
          <t>USD/mes</t>
        </is>
      </c>
      <c r="D251" s="153" t="n">
        <v>3000</v>
      </c>
      <c r="E251" s="153" t="n">
        <v>4200</v>
      </c>
      <c r="F251" s="153" t="n">
        <v>5450</v>
      </c>
      <c r="G251" s="151" t="inlineStr">
        <is>
          <t>estimación BBS</t>
        </is>
      </c>
      <c r="H251" s="151" t="inlineStr">
        <is>
          <t>2026</t>
        </is>
      </c>
      <c r="I251" s="152" t="n"/>
      <c r="J251" s="151" t="inlineStr">
        <is>
          <t>Baja (estimación BBS)</t>
        </is>
      </c>
    </row>
    <row r="252" ht="15" customHeight="1" s="106">
      <c r="A252" s="151" t="inlineStr">
        <is>
          <t>cf_bolivia</t>
        </is>
      </c>
      <c r="B252" s="152" t="inlineStr">
        <is>
          <t>Costos fijos operación mínima Bolivia</t>
        </is>
      </c>
      <c r="C252" s="151" t="inlineStr">
        <is>
          <t>USD/mes</t>
        </is>
      </c>
      <c r="D252" s="153" t="n">
        <v>2230</v>
      </c>
      <c r="E252" s="153" t="n">
        <v>3200</v>
      </c>
      <c r="F252" s="153" t="n">
        <v>4250</v>
      </c>
      <c r="G252" s="151" t="inlineStr">
        <is>
          <t>estimación BBS</t>
        </is>
      </c>
      <c r="H252" s="151" t="inlineStr">
        <is>
          <t>2026</t>
        </is>
      </c>
      <c r="I252" s="152" t="n"/>
      <c r="J252" s="151" t="inlineStr">
        <is>
          <t>Baja (estimación BBS)</t>
        </is>
      </c>
    </row>
    <row r="253" ht="15" customHeight="1" s="106">
      <c r="A253" s="151" t="inlineStr">
        <is>
          <t>cf_brasil</t>
        </is>
      </c>
      <c r="B253" s="152" t="inlineStr">
        <is>
          <t>Costos fijos operación mínima Brasil</t>
        </is>
      </c>
      <c r="C253" s="151" t="inlineStr">
        <is>
          <t>USD/mes</t>
        </is>
      </c>
      <c r="D253" s="153" t="n">
        <v>3650</v>
      </c>
      <c r="E253" s="153" t="n">
        <v>5400</v>
      </c>
      <c r="F253" s="153" t="n">
        <v>7200</v>
      </c>
      <c r="G253" s="151" t="inlineStr">
        <is>
          <t>estimación BBS</t>
        </is>
      </c>
      <c r="H253" s="151" t="inlineStr">
        <is>
          <t>2026</t>
        </is>
      </c>
      <c r="I253" s="152" t="n"/>
      <c r="J253" s="151" t="inlineStr">
        <is>
          <t>Baja (estimación BBS)</t>
        </is>
      </c>
    </row>
    <row r="254" ht="15" customHeight="1" s="106">
      <c r="A254" s="151" t="inlineStr">
        <is>
          <t>contador_externo</t>
        </is>
      </c>
      <c r="B254" s="152" t="inlineStr">
        <is>
          <t>Contador externo pyme</t>
        </is>
      </c>
      <c r="C254" s="151" t="inlineStr">
        <is>
          <t>USD/mes</t>
        </is>
      </c>
      <c r="D254" s="153" t="n">
        <v>80</v>
      </c>
      <c r="E254" s="153" t="n">
        <v>200</v>
      </c>
      <c r="F254" s="153" t="n">
        <v>400</v>
      </c>
      <c r="G254" s="151" t="inlineStr">
        <is>
          <t>estimación BBS</t>
        </is>
      </c>
      <c r="H254" s="151" t="inlineStr">
        <is>
          <t>2026</t>
        </is>
      </c>
      <c r="I254" s="152" t="n"/>
      <c r="J254" s="151" t="inlineStr">
        <is>
          <t>Baja (estimación BBS)</t>
        </is>
      </c>
    </row>
    <row r="256" ht="15" customHeight="1" s="106">
      <c r="A256" s="109" t="inlineStr">
        <is>
          <t>CASO CAMU CAMU v4 (PASO 05)</t>
        </is>
      </c>
      <c r="B256" s="110" t="n"/>
      <c r="C256" s="110" t="n"/>
      <c r="D256" s="110" t="n"/>
      <c r="E256" s="110" t="n"/>
      <c r="F256" s="110" t="n"/>
      <c r="G256" s="110" t="n"/>
      <c r="H256" s="110" t="n"/>
      <c r="I256" s="110" t="n"/>
      <c r="J256" s="110" t="n"/>
    </row>
    <row r="257" ht="15" customHeight="1" s="106">
      <c r="A257" s="151" t="inlineStr">
        <is>
          <t>camu_precio_des</t>
        </is>
      </c>
      <c r="B257" s="152" t="inlineStr">
        <is>
          <t>Camu camu: precio polvo de fruta entera deshidratada orgánico (FOB Callao)</t>
        </is>
      </c>
      <c r="C257" s="151" t="inlineStr">
        <is>
          <t>USD/kg</t>
        </is>
      </c>
      <c r="D257" s="153" t="n">
        <v>15</v>
      </c>
      <c r="E257" s="153" t="n">
        <v>17</v>
      </c>
      <c r="F257" s="153" t="n">
        <v>25</v>
      </c>
      <c r="G257" s="151" t="inlineStr">
        <is>
          <t>https://www.go4worldbusiness.com/find?searchText=camu-camu-powder&amp;BuyersOrSuppliers=suppliers; https://www.agroperu.pe/peru-exporto-3-8-toneladas-de-camu-camu-por-41-000-hasta-abril-de-2023/</t>
        </is>
      </c>
      <c r="H257" s="151" t="inlineStr">
        <is>
          <t>2026</t>
        </is>
      </c>
      <c r="I257" s="152" t="inlineStr">
        <is>
          <t>v4: spot USD 17 FOB; contrato con la marca USD 19; B2B Lima USD 16. Liofilizado: spot 28-40 FCA, contrato 45-55 (caso: 50)</t>
        </is>
      </c>
      <c r="J257" s="151" t="inlineStr">
        <is>
          <t>Con fuente (ver URL)</t>
        </is>
      </c>
    </row>
    <row r="258" ht="15" customHeight="1" s="106">
      <c r="A258" s="151" t="inlineStr">
        <is>
          <t>camu_rendimiento</t>
        </is>
      </c>
      <c r="B258" s="152" t="inlineStr">
        <is>
          <t>Camu camu: kg de fruta útil por kg de polvo deshidratado (fruta entera)</t>
        </is>
      </c>
      <c r="C258" s="151" t="inlineStr">
        <is>
          <t>kg/kg</t>
        </is>
      </c>
      <c r="D258" s="153" t="n">
        <v>5.6</v>
      </c>
      <c r="E258" s="153" t="n">
        <v>6.7</v>
      </c>
      <c r="F258" s="153" t="n">
        <v>8.300000000000001</v>
      </c>
      <c r="G258" s="151" t="inlineStr">
        <is>
          <t>caso_camu_v4.md (supuesto de referencia v5: Embrapa 2012; Ferreira y Gentil 2003; Food Res. Int. 2023)</t>
        </is>
      </c>
      <c r="H258" s="151" t="inlineStr">
        <is>
          <t>2022</t>
        </is>
      </c>
      <c r="I258" s="152" t="inlineStr">
        <is>
          <t>Materia seca del fruto entero 15% (12-18%): pulpa y cáscara 7-11% de sólidos + semilla (15-20% del peso) con ~50%. Liofilizado de pulpa: 26.8 kg (23-30)</t>
        </is>
      </c>
      <c r="J258" s="151" t="inlineStr">
        <is>
          <t>Media (cálculo o supuesto)</t>
        </is>
      </c>
    </row>
    <row r="259" ht="15" customHeight="1" s="106">
      <c r="A259" s="151" t="inlineStr">
        <is>
          <t>camu_precio_fruta</t>
        </is>
      </c>
      <c r="B259" s="152" t="inlineStr">
        <is>
          <t>Camu camu: precio de fruta al productor (Ucayali)</t>
        </is>
      </c>
      <c r="C259" s="151" t="inlineStr">
        <is>
          <t>USD/kg</t>
        </is>
      </c>
      <c r="D259" s="154">
        <f>ROUND(1.5/TC_PEN,2)</f>
        <v/>
      </c>
      <c r="E259" s="155">
        <f>PBio</f>
        <v/>
      </c>
      <c r="F259" s="154">
        <f>ROUND(2.5/TC_PEN,2)</f>
        <v/>
      </c>
      <c r="G259" s="151" t="inlineStr">
        <is>
          <t>https://inforegion.pe/ucayali-confirma-festival-del-camu-camu-el-24-y-25-de-abril-ante-crisis-de-precios/</t>
        </is>
      </c>
      <c r="H259" s="151" t="inlineStr">
        <is>
          <t>2024</t>
        </is>
      </c>
      <c r="I259" s="152" t="inlineStr">
        <is>
          <t>USD 0.42 (S/ 1.50, crisis, feb. 2026) a USD 0.69 (S/ 2.50); el caso v4 paga USD 0.611 (S/ 2.20 = piso S/ 2.00 + 10% Fair for Life). Se convierten con TC_PEN</t>
        </is>
      </c>
      <c r="J259" s="151" t="inlineStr">
        <is>
          <t>Con fuente (ver URL)</t>
        </is>
      </c>
    </row>
    <row r="260" ht="15" customHeight="1" s="106">
      <c r="A260" s="151" t="inlineStr">
        <is>
          <t>camu_maquila_lio</t>
        </is>
      </c>
      <c r="B260" s="152" t="inlineStr">
        <is>
          <t>Camu camu: maquila de liofilización</t>
        </is>
      </c>
      <c r="C260" s="151" t="inlineStr">
        <is>
          <t>USD/kg pulpa</t>
        </is>
      </c>
      <c r="D260" s="153" t="n">
        <v>0.8</v>
      </c>
      <c r="E260" s="153" t="n">
        <v>1.2</v>
      </c>
      <c r="F260" s="153" t="n">
        <v>2</v>
      </c>
      <c r="G260" s="151" t="inlineStr">
        <is>
          <t>estimación BBS</t>
        </is>
      </c>
      <c r="H260" s="151" t="inlineStr">
        <is>
          <t>2026</t>
        </is>
      </c>
      <c r="I260" s="152" t="inlineStr">
        <is>
          <t>Supuesto de referencia v5 (costeo de un maquilador de 50 m2 + prima de lote chico; techo público ~USD 1.75 en NZ). A USD 2.00 el resultado del caso baja a USD 1,205/mes</t>
        </is>
      </c>
      <c r="J260" s="151" t="inlineStr">
        <is>
          <t>Baja (estimación BBS)</t>
        </is>
      </c>
    </row>
    <row r="261" ht="15" customHeight="1" s="106">
      <c r="A261" s="151" t="inlineStr">
        <is>
          <t>camu_merma</t>
        </is>
      </c>
      <c r="B261" s="152" t="inlineStr">
        <is>
          <t>Camu camu: merma de fruta</t>
        </is>
      </c>
      <c r="C261" s="151" t="inlineStr">
        <is>
          <t>%</t>
        </is>
      </c>
      <c r="D261" s="153" t="n">
        <v>5</v>
      </c>
      <c r="E261" s="153" t="n">
        <v>7</v>
      </c>
      <c r="F261" s="153" t="n">
        <v>12</v>
      </c>
      <c r="G261" s="151" t="inlineStr">
        <is>
          <t>caso_camu_v4.md (estimación BBS)</t>
        </is>
      </c>
      <c r="H261" s="151" t="inlineStr">
        <is>
          <t>2026</t>
        </is>
      </c>
      <c r="I261" s="152" t="inlineStr">
        <is>
          <t>Plantación cercana a la planta (Ucayali). Loreto por río: 15%</t>
        </is>
      </c>
      <c r="J261" s="151" t="inlineStr">
        <is>
          <t>Baja (estimación BBS)</t>
        </is>
      </c>
    </row>
    <row r="262" ht="15" customHeight="1" s="106">
      <c r="A262" s="151" t="inlineStr">
        <is>
          <t>camu_cumplimiento</t>
        </is>
      </c>
      <c r="B262" s="152" t="inlineStr">
        <is>
          <t>Camu camu: cumplimiento anual</t>
        </is>
      </c>
      <c r="C262" s="151" t="inlineStr">
        <is>
          <t>USD/año</t>
        </is>
      </c>
      <c r="D262" s="153" t="n">
        <v>9000</v>
      </c>
      <c r="E262" s="153" t="n">
        <v>15000</v>
      </c>
      <c r="F262" s="153" t="n">
        <v>20000</v>
      </c>
      <c r="G262" s="151" t="inlineStr">
        <is>
          <t>caso_camu_v4.md; tarifario Control Union 2026</t>
        </is>
      </c>
      <c r="H262" s="151" t="inlineStr">
        <is>
          <t>2026</t>
        </is>
      </c>
      <c r="I262" s="152" t="inlineStr">
        <is>
          <t>v4: orgánico de grupo USD 4,500 + SIC 4,000 + Fair for Life ~2,900 + laboratorio 3,600. Año 1: la marca paga USD 11,400; la empresa, 3,600 (USD 300/mes)</t>
        </is>
      </c>
      <c r="J262" s="151" t="inlineStr">
        <is>
          <t>Con fuente (ver URL)</t>
        </is>
      </c>
    </row>
    <row r="263" ht="15" customHeight="1" s="106">
      <c r="A263" s="151" t="inlineStr">
        <is>
          <t>camu_costos_fijos</t>
        </is>
      </c>
      <c r="B263" s="152" t="inlineStr">
        <is>
          <t>Camu camu: costos fijos operativos (sin cumplimiento ni despacho)</t>
        </is>
      </c>
      <c r="C263" s="151" t="inlineStr">
        <is>
          <t>USD/mes</t>
        </is>
      </c>
      <c r="D263" s="153" t="n">
        <v>3400</v>
      </c>
      <c r="E263" s="153" t="n">
        <v>4000</v>
      </c>
      <c r="F263" s="153" t="n">
        <v>5000</v>
      </c>
      <c r="G263" s="151" t="inlineStr">
        <is>
          <t>caso_camu_v4.md</t>
        </is>
      </c>
      <c r="H263" s="151" t="inlineStr">
        <is>
          <t>2026</t>
        </is>
      </c>
      <c r="I263" s="152" t="inlineStr">
        <is>
          <t>v5: USD 4,000 + cumplimiento de la empresa 300 + despacho 1,200 = USD 5,500/mes</t>
        </is>
      </c>
      <c r="J263" s="151" t="inlineStr">
        <is>
          <t>Con fuente (ver URL)</t>
        </is>
      </c>
    </row>
    <row r="264" ht="15" customHeight="1" s="106">
      <c r="A264" s="151" t="inlineStr">
        <is>
          <t>camu_participacion</t>
        </is>
      </c>
      <c r="B264" s="152" t="inlineStr">
        <is>
          <t>Camu camu: participación variable</t>
        </is>
      </c>
      <c r="C264" s="151" t="inlineStr">
        <is>
          <t>% margen</t>
        </is>
      </c>
      <c r="D264" s="153" t="n">
        <v>5</v>
      </c>
      <c r="E264" s="153" t="n">
        <v>10</v>
      </c>
      <c r="F264" s="153" t="n">
        <v>15</v>
      </c>
      <c r="G264" s="151" t="inlineStr">
        <is>
          <t>caso_camu_v4.md</t>
        </is>
      </c>
      <c r="H264" s="151" t="inlineStr">
        <is>
          <t>2026</t>
        </is>
      </c>
      <c r="I264" s="152" t="inlineStr">
        <is>
          <t>v4: 10% × (precio − subtotal variable antes de participación)</t>
        </is>
      </c>
      <c r="J264" s="151" t="inlineStr">
        <is>
          <t>Con fuente (ver URL)</t>
        </is>
      </c>
    </row>
    <row r="265" ht="15" customHeight="1" s="106">
      <c r="A265" s="151" t="inlineStr">
        <is>
          <t>camu_margen_base</t>
        </is>
      </c>
      <c r="B265" s="152" t="inlineStr">
        <is>
          <t>Camu camu v4: margen bruto real ponderado por escenario</t>
        </is>
      </c>
      <c r="C265" s="151" t="inlineStr">
        <is>
          <t>%</t>
        </is>
      </c>
      <c r="D265" s="153" t="n">
        <v>23.6</v>
      </c>
      <c r="E265" s="153" t="n">
        <v>36.7</v>
      </c>
      <c r="F265" s="153" t="n">
        <v>38.3</v>
      </c>
      <c r="G265" s="151" t="inlineStr">
        <is>
          <t>caso_camu_v4.md (cálculo Python)</t>
        </is>
      </c>
      <c r="H265" s="151" t="inlineStr">
        <is>
          <t>2026</t>
        </is>
      </c>
      <c r="I265" s="152" t="inlineStr">
        <is>
          <t>Pesimista / base / optimista (etapa 2: 33.9%); equilibrio base 602 kg/mes; resultado operativo USD 1,813/mes</t>
        </is>
      </c>
      <c r="J265" s="151" t="inlineStr">
        <is>
          <t>Media (cálculo o supuesto)</t>
        </is>
      </c>
    </row>
    <row r="266" ht="15" customHeight="1" s="106">
      <c r="A266" s="151" t="inlineStr">
        <is>
          <t>camu_mbr_montecarlo</t>
        </is>
      </c>
      <c r="B266" s="152" t="inlineStr">
        <is>
          <t>Camu camu v4: margen bruto real en el Monte Carlo (P10 / P50 / P90)</t>
        </is>
      </c>
      <c r="C266" s="151" t="inlineStr">
        <is>
          <t>%</t>
        </is>
      </c>
      <c r="D266" s="153" t="n">
        <v>29.2</v>
      </c>
      <c r="E266" s="153" t="n">
        <v>34.4</v>
      </c>
      <c r="F266" s="153" t="n">
        <v>39.1</v>
      </c>
      <c r="G266" s="151" t="inlineStr">
        <is>
          <t>caso_camu_v4.md (cálculo Python, 20,000 iteraciones)</t>
        </is>
      </c>
      <c r="H266" s="151" t="inlineStr">
        <is>
          <t>2026</t>
        </is>
      </c>
      <c r="I266" s="152" t="inlineStr">
        <is>
          <t>Resultado positivo en 90.0% de los escenarios; mediana USD 1,213/mes</t>
        </is>
      </c>
      <c r="J266" s="151" t="inlineStr">
        <is>
          <t>Media (cálculo o supuesto)</t>
        </is>
      </c>
    </row>
    <row r="268" ht="64.15000000000001" customHeight="1" s="106">
      <c r="A268" s="118" t="inlineStr">
        <is>
          <t>Los valores bajo / típico / alto son editables (fondo pulpa, texto azul): las listas de la derecha y las herramientas leen el valor «típico».</t>
        </is>
      </c>
    </row>
  </sheetData>
  <mergeCells count="109">
    <mergeCell ref="G21:H21"/>
    <mergeCell ref="E62:F62"/>
    <mergeCell ref="E23:F23"/>
    <mergeCell ref="G23:H23"/>
    <mergeCell ref="E8:F8"/>
    <mergeCell ref="E51:F51"/>
    <mergeCell ref="E63:F63"/>
    <mergeCell ref="G18:H18"/>
    <mergeCell ref="E65:F65"/>
    <mergeCell ref="E34:F34"/>
    <mergeCell ref="G34:H34"/>
    <mergeCell ref="G68:H68"/>
    <mergeCell ref="E49:F49"/>
    <mergeCell ref="E27:F27"/>
    <mergeCell ref="G58:H58"/>
    <mergeCell ref="A69:J69"/>
    <mergeCell ref="G20:H20"/>
    <mergeCell ref="E53:F53"/>
    <mergeCell ref="G44:H44"/>
    <mergeCell ref="E12:F12"/>
    <mergeCell ref="G59:H59"/>
    <mergeCell ref="G12:H12"/>
    <mergeCell ref="E55:F55"/>
    <mergeCell ref="E67:F67"/>
    <mergeCell ref="G67:H67"/>
    <mergeCell ref="E14:F14"/>
    <mergeCell ref="G61:H61"/>
    <mergeCell ref="E48:F48"/>
    <mergeCell ref="G48:H48"/>
    <mergeCell ref="E38:F38"/>
    <mergeCell ref="G38:H38"/>
    <mergeCell ref="G62:H62"/>
    <mergeCell ref="E40:F40"/>
    <mergeCell ref="G49:H49"/>
    <mergeCell ref="D5:F5"/>
    <mergeCell ref="G24:H24"/>
    <mergeCell ref="G33:H33"/>
    <mergeCell ref="G65:H65"/>
    <mergeCell ref="E26:F26"/>
    <mergeCell ref="G26:H26"/>
    <mergeCell ref="G35:H35"/>
    <mergeCell ref="E16:F16"/>
    <mergeCell ref="G16:H16"/>
    <mergeCell ref="E25:F25"/>
    <mergeCell ref="G25:H25"/>
    <mergeCell ref="G60:H60"/>
    <mergeCell ref="G9:H9"/>
    <mergeCell ref="E58:F58"/>
    <mergeCell ref="E18:F18"/>
    <mergeCell ref="E68:F68"/>
    <mergeCell ref="G11:H11"/>
    <mergeCell ref="G42:H42"/>
    <mergeCell ref="E52:F52"/>
    <mergeCell ref="E39:F39"/>
    <mergeCell ref="G39:H39"/>
    <mergeCell ref="E44:F44"/>
    <mergeCell ref="E20:F20"/>
    <mergeCell ref="G37:H37"/>
    <mergeCell ref="E13:F13"/>
    <mergeCell ref="G13:H13"/>
    <mergeCell ref="E31:F31"/>
    <mergeCell ref="E59:F59"/>
    <mergeCell ref="E6:F6"/>
    <mergeCell ref="E46:F46"/>
    <mergeCell ref="E61:F61"/>
    <mergeCell ref="G51:H51"/>
    <mergeCell ref="E54:F54"/>
    <mergeCell ref="E32:F32"/>
    <mergeCell ref="G54:H54"/>
    <mergeCell ref="G32:H32"/>
    <mergeCell ref="E41:F41"/>
    <mergeCell ref="G63:H63"/>
    <mergeCell ref="G41:H41"/>
    <mergeCell ref="E56:F56"/>
    <mergeCell ref="G56:H56"/>
    <mergeCell ref="G52:H52"/>
    <mergeCell ref="E24:F24"/>
    <mergeCell ref="E33:F33"/>
    <mergeCell ref="G27:H27"/>
    <mergeCell ref="E42:F42"/>
    <mergeCell ref="G8:H8"/>
    <mergeCell ref="E17:F17"/>
    <mergeCell ref="G17:H17"/>
    <mergeCell ref="E35:F35"/>
    <mergeCell ref="E10:F10"/>
    <mergeCell ref="G10:H10"/>
    <mergeCell ref="E19:F19"/>
    <mergeCell ref="G19:H19"/>
    <mergeCell ref="E28:F28"/>
    <mergeCell ref="G53:H53"/>
    <mergeCell ref="G28:H28"/>
    <mergeCell ref="G6:H6"/>
    <mergeCell ref="E60:F60"/>
    <mergeCell ref="E9:F9"/>
    <mergeCell ref="A1:J1"/>
    <mergeCell ref="E30:F30"/>
    <mergeCell ref="G30:H30"/>
    <mergeCell ref="E11:F11"/>
    <mergeCell ref="E45:F45"/>
    <mergeCell ref="G14:H14"/>
    <mergeCell ref="G45:H45"/>
    <mergeCell ref="G55:H55"/>
    <mergeCell ref="G47:H47"/>
    <mergeCell ref="E37:F37"/>
    <mergeCell ref="G31:H31"/>
    <mergeCell ref="G46:H46"/>
    <mergeCell ref="G40:H40"/>
    <mergeCell ref="E47:F47"/>
    <mergeCell ref="E21:F21"/>
  </mergeCells>
  <dataValidations count="1">
    <dataValidation sqref="D8" showDropDown="0" showInputMessage="0" showErrorMessage="0" allowBlank="1" errorTitle="Valor no válido" error="Elige un valor de la lista" type="list" errorStyle="stop" operator="between">
      <formula1>"PE,CO,EC,BO,BR,MX,Otro"</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tabColor rgb="FF9CB65A"/>
    <outlinePr summaryBelow="1" summaryRight="1"/>
    <pageSetUpPr fitToPage="0"/>
  </sheetPr>
  <dimension ref="A1:D89"/>
  <sheetViews>
    <sheetView showFormulas="0" showGridLines="1" showRowColHeaders="1" showZeros="1" rightToLeft="0" tabSelected="0" showOutlineSymbols="1" defaultGridColor="1"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baseColWidth="8" defaultColWidth="8.6796875" defaultRowHeight="15" customHeight="0" zeroHeight="0" outlineLevelRow="0"/>
  <cols>
    <col width="52" customWidth="1" style="105" min="1" max="1"/>
    <col width="20" customWidth="1" style="105" min="2" max="3"/>
    <col width="62" customWidth="1" style="105" min="4" max="4"/>
  </cols>
  <sheetData>
    <row r="1" ht="30" customHeight="1" s="106">
      <c r="A1" s="122" t="inlineStr">
        <is>
          <t>Herramienta 1 · Calculadora de densidad de valor</t>
        </is>
      </c>
    </row>
    <row r="2" ht="15" customHeight="1" s="106">
      <c r="A2" s="123" t="inlineStr">
        <is>
          <t>Paso 01. ¿Tu modelo resiste la física del margen? Densidad de valor = precio de venta por kg ÷ flete troncal por kg.</t>
        </is>
      </c>
    </row>
    <row r="3"/>
    <row r="4" ht="15" customHeight="1" s="106">
      <c r="A4" s="109" t="inlineStr">
        <is>
          <t>ENTRADAS</t>
        </is>
      </c>
      <c r="B4" s="110" t="n"/>
      <c r="C4" s="110" t="n"/>
      <c r="D4" s="110" t="n"/>
    </row>
    <row r="5" ht="15" customHeight="1" s="106">
      <c r="A5" s="112" t="inlineStr">
        <is>
          <t>Producto (lista)</t>
        </is>
      </c>
      <c r="B5" s="140" t="inlineStr">
        <is>
          <t>Sacha inchi (semilla con cáscara, seca)</t>
        </is>
      </c>
      <c r="D5" s="118" t="inlineStr">
        <is>
          <t>Trae humedad y factor típico desde «Parámetros LatAm». Elige «Otro» si no está.</t>
        </is>
      </c>
    </row>
    <row r="6" ht="15" customHeight="1" s="106">
      <c r="A6" s="112" t="inlineStr">
        <is>
          <t>Humedad típica del producto</t>
        </is>
      </c>
      <c r="B6" s="132">
        <f>IFERROR(INDEX(tabla_productos,MATCH(B5,lista_productos,0),2),"")</f>
        <v/>
      </c>
    </row>
    <row r="7" ht="15" customHeight="1" s="106">
      <c r="A7" s="112" t="inlineStr">
        <is>
          <t>Factor típico del producto (kg biomasa / kg producto)</t>
        </is>
      </c>
      <c r="B7" s="156">
        <f>IFERROR(INDEX(tabla_productos,MATCH(B5,lista_productos,0),3),"")</f>
        <v/>
      </c>
      <c r="D7" s="118" t="inlineStr">
        <is>
          <t>Referencia de densificación del producto (ver columna O de Parámetros).</t>
        </is>
      </c>
    </row>
    <row r="8" ht="15" customHeight="1" s="106">
      <c r="A8" s="112" t="inlineStr">
        <is>
          <t>Tipo de transporte troncal (lista)</t>
        </is>
      </c>
      <c r="B8" s="140" t="inlineStr">
        <is>
          <t>T14 · Courier puerta a puerta Lima–provincias (&gt;50 kg)</t>
        </is>
      </c>
      <c r="D8" s="118" t="inlineStr">
        <is>
          <t>Transporte principal origen → mercado o puerto. Trae la tarifa típica.</t>
        </is>
      </c>
    </row>
    <row r="9" ht="15" customHeight="1" s="106">
      <c r="A9" s="112" t="inlineStr">
        <is>
          <t>Tarifa troncal típica, USD/kg</t>
        </is>
      </c>
      <c r="B9" s="157">
        <f>IFERROR(INDEX(tabla_transporte,MATCH(B8,lista_transporte,0),2),0)</f>
        <v/>
      </c>
    </row>
    <row r="10" ht="43.25" customHeight="1" s="106">
      <c r="A10" s="112" t="inlineStr">
        <is>
          <t>Tarifa troncal propia, USD/kg (opcional)</t>
        </is>
      </c>
      <c r="B10" s="158" t="n">
        <v>1.3</v>
      </c>
      <c r="D10" s="118" t="inlineStr">
        <is>
          <t>Sobrescribe la típica. Caso del Paso 01: envío por courier puerta a puerta, USD 1.30 (rango 1.20–1.60, mínimo USD 55–80 por envío), San Martín–Callao, 1,300–1,400 km. Prueba también agencia de carga (0.42, lotes desde ~200 kg) y camión completo (0.08).</t>
        </is>
      </c>
    </row>
    <row r="11" ht="15" customHeight="1" s="106">
      <c r="A11" s="125" t="inlineStr">
        <is>
          <t>Tarifa troncal usada, USD/kg</t>
        </is>
      </c>
      <c r="B11" s="159">
        <f>IF(N(B10)&gt;0,B10,B9)</f>
        <v/>
      </c>
    </row>
    <row r="12" ht="22.35" customHeight="1" s="106">
      <c r="A12" s="112" t="inlineStr">
        <is>
          <t>Peso de biomasa fresca, kg/mes</t>
        </is>
      </c>
      <c r="B12" s="146" t="n">
        <v>920</v>
      </c>
      <c r="D12" s="118" t="inlineStr">
        <is>
          <t>Caso: semilla de sacha inchi que da 200 kg de aceite al mes (≈4.6 kg de semilla con cáscara por kg de aceite).</t>
        </is>
      </c>
    </row>
    <row r="13" ht="15" customHeight="1" s="106">
      <c r="A13" s="112" t="inlineStr">
        <is>
          <t>Peso final después de densificar, kg/mes (opcional)</t>
        </is>
      </c>
      <c r="B13" s="146" t="n">
        <v>200</v>
      </c>
      <c r="D13" s="118" t="inlineStr">
        <is>
          <t>Si lo dejas vacío, se usa el factor manual o el típico del producto.</t>
        </is>
      </c>
    </row>
    <row r="14" ht="15" customHeight="1" s="106">
      <c r="A14" s="112" t="inlineStr">
        <is>
          <t>Factor de densificación manual (opcional)</t>
        </is>
      </c>
      <c r="B14" s="133" t="n"/>
      <c r="D14" s="118" t="inlineStr">
        <is>
          <t>kg de biomasa por kg de producto final. Tiene prioridad sobre el peso final.</t>
        </is>
      </c>
    </row>
    <row r="15" ht="22.35" customHeight="1" s="106">
      <c r="A15" s="112" t="inlineStr">
        <is>
          <t>Precio de venta del producto densificado, USD/kg</t>
        </is>
      </c>
      <c r="B15" s="158" t="n">
        <v>22</v>
      </c>
      <c r="D15" s="118" t="inlineStr">
        <is>
          <t>Caso: aceite de sacha inchi, precio de referencia para orgánico certificado del Paso 01 (FOB USD 19–24).</t>
        </is>
      </c>
    </row>
    <row r="16" ht="15" customHeight="1" s="106">
      <c r="A16" s="112" t="inlineStr">
        <is>
          <t>Precio de venta de la biomasa sin densificar, USD/kg</t>
        </is>
      </c>
      <c r="B16" s="158" t="n">
        <v>2</v>
      </c>
      <c r="D16" s="118" t="inlineStr">
        <is>
          <t>Caso: grano de sacha inchi en el Callao (rango USD 1.50–2.50).</t>
        </is>
      </c>
    </row>
    <row r="17" ht="15" customHeight="1" s="106">
      <c r="A17" s="112" t="inlineStr">
        <is>
          <t>Costo de proceso por kg de producto final, USD/kg</t>
        </is>
      </c>
      <c r="B17" s="158" t="n">
        <v>1.8</v>
      </c>
      <c r="D17" s="118" t="inlineStr">
        <is>
          <t>Caso: prensado en frío, filtrado y envasado (Paso 03).</t>
        </is>
      </c>
    </row>
    <row r="18" ht="15" customHeight="1" s="106">
      <c r="A18" s="112" t="inlineStr">
        <is>
          <t>Inversión en equipo de densificación, USD</t>
        </is>
      </c>
      <c r="B18" s="160" t="n">
        <v>15000</v>
      </c>
      <c r="D18" s="118" t="inlineStr">
        <is>
          <t>Caso: prensa con filtro y tanques, 100–200 kg/día (USD 12,000–18,000).</t>
        </is>
      </c>
    </row>
    <row r="19" ht="32.8" customHeight="1" s="106">
      <c r="A19" s="112" t="inlineStr">
        <is>
          <t>Tarifa troncal real del producto densificado, USD/kg (opcional)</t>
        </is>
      </c>
      <c r="B19" s="158" t="n"/>
      <c r="D19" s="118" t="inlineStr">
        <is>
          <t>Vacío = la misma tarifa de arriba. El flete no baja en proporción al peso: con menos kg hay mínimos por envío y saltos por lote (Paso 01). Cotiza la tarifa real para el nuevo peso.</t>
        </is>
      </c>
    </row>
    <row r="20" ht="15" customHeight="1" s="106">
      <c r="A20" s="109" t="inlineStr">
        <is>
          <t>RESULTADOS</t>
        </is>
      </c>
      <c r="B20" s="110" t="n"/>
      <c r="C20" s="110" t="n"/>
      <c r="D20" s="110" t="n"/>
    </row>
    <row r="21" ht="15" customHeight="1" s="106">
      <c r="A21" s="112" t="inlineStr">
        <is>
          <t>Factor de densificación usado</t>
        </is>
      </c>
      <c r="B21" s="134">
        <f>IF(N(B14)&gt;0,B14,IF(N(B13)&gt;0,B12/B13,B7))</f>
        <v/>
      </c>
    </row>
    <row r="22" ht="15" customHeight="1" s="106">
      <c r="A22" s="112" t="inlineStr">
        <is>
          <t>Peso final calculado, kg/mes</t>
        </is>
      </c>
      <c r="B22" s="156">
        <f>IF(N(B21)&gt;0,B12/B21,0)</f>
        <v/>
      </c>
    </row>
    <row r="23" ht="15" customHeight="1" s="106">
      <c r="A23" s="112" t="inlineStr">
        <is>
          <t>Factor máximo por secado integral = 1 ÷ (1 − humedad)</t>
        </is>
      </c>
      <c r="B23" s="156">
        <f>IF(N(B6)&lt;1,1/(1-B6),"")</f>
        <v/>
      </c>
    </row>
    <row r="24" ht="15" customHeight="1" s="106">
      <c r="A24" s="112" t="inlineStr">
        <is>
          <t>Lectura del factor</t>
        </is>
      </c>
      <c r="B24" s="161">
        <f>IF(B21&gt;B23*1.05,"Supera el secado integral: separas una fracción (pulpa, aceite, extracto)","Dentro del límite del secado integral")</f>
        <v/>
      </c>
      <c r="C24" s="129" t="n"/>
      <c r="D24" s="136" t="n"/>
    </row>
    <row r="25"/>
    <row r="26" ht="22.35" customHeight="1" s="106">
      <c r="A26" s="125" t="inlineStr">
        <is>
          <t>Densidad de valor del producto densificado</t>
        </is>
      </c>
      <c r="B26" s="162">
        <f>IF(C32&gt;0,B15/C32,"")</f>
        <v/>
      </c>
      <c r="C26" s="161">
        <f>IF(B26="","",IF(B26&lt;3,"Crítica",IF(B26&lt;=10,"Zona de riesgo","Viable")))</f>
        <v/>
      </c>
      <c r="D26" s="118" t="inlineStr">
        <is>
          <t>&lt; 3 crítica (estás moviendo agua) · 3–10 zona de riesgo · &gt; 10 viable. Regla práctica BBS.</t>
        </is>
      </c>
    </row>
    <row r="27" ht="15" customHeight="1" s="106">
      <c r="A27" s="125" t="inlineStr">
        <is>
          <t>Densidad de valor de la biomasa sin densificar</t>
        </is>
      </c>
      <c r="B27" s="162">
        <f>IF(B11&gt;0,B16/B11,"")</f>
        <v/>
      </c>
      <c r="C27" s="161">
        <f>IF(B27="","",IF(B27&lt;3,"Crítica",IF(B27&lt;=10,"Zona de riesgo","Viable")))</f>
        <v/>
      </c>
    </row>
    <row r="28"/>
    <row r="29" ht="15" customHeight="1" s="106">
      <c r="A29" s="109" t="inlineStr">
        <is>
          <t>IMPACTO DE LA DENSIFICACIÓN: VENDER FRESCO FRENTE A DENSIFICADO (POR MES)</t>
        </is>
      </c>
      <c r="B29" s="110" t="n"/>
      <c r="C29" s="110" t="n"/>
      <c r="D29" s="110" t="n"/>
    </row>
    <row r="30" ht="15" customHeight="1" s="106">
      <c r="A30" s="135" t="inlineStr">
        <is>
          <t>Concepto</t>
        </is>
      </c>
      <c r="B30" s="135" t="inlineStr">
        <is>
          <t>Vender sin densificar</t>
        </is>
      </c>
      <c r="C30" s="135" t="inlineStr">
        <is>
          <t>Densificado en origen</t>
        </is>
      </c>
      <c r="D30" s="135" t="inlineStr">
        <is>
          <t>Nota</t>
        </is>
      </c>
    </row>
    <row r="31" ht="15" customHeight="1" s="106">
      <c r="A31" s="112" t="inlineStr">
        <is>
          <t>kg transportados</t>
        </is>
      </c>
      <c r="B31" s="142">
        <f>B12</f>
        <v/>
      </c>
      <c r="C31" s="142">
        <f>B22</f>
        <v/>
      </c>
      <c r="D31" s="118" t="n"/>
    </row>
    <row r="32" ht="32.8" customHeight="1" s="106">
      <c r="A32" s="112" t="inlineStr">
        <is>
          <t>Tarifa troncal, USD/kg</t>
        </is>
      </c>
      <c r="B32" s="157">
        <f>B11</f>
        <v/>
      </c>
      <c r="C32" s="157">
        <f>IF(N(B19)&gt;0,B19,B11)</f>
        <v/>
      </c>
      <c r="D32" s="118" t="inlineStr">
        <is>
          <t>Densificado: tu tarifa real para el nuevo peso (B19), no una reducción proporcional. Si la dejas vacía, la misma por kg: cambia cuántos kg mueves y cuánto vale cada uno.</t>
        </is>
      </c>
    </row>
    <row r="33" ht="15" customHeight="1" s="106">
      <c r="A33" s="112" t="inlineStr">
        <is>
          <t>Flete troncal mensual</t>
        </is>
      </c>
      <c r="B33" s="157">
        <f>B31*B32</f>
        <v/>
      </c>
      <c r="C33" s="157">
        <f>C31*C32</f>
        <v/>
      </c>
      <c r="D33" s="118" t="n"/>
    </row>
    <row r="34" ht="22.35" customHeight="1" s="106">
      <c r="A34" s="112" t="inlineStr">
        <is>
          <t>Ingreso mensual</t>
        </is>
      </c>
      <c r="B34" s="157">
        <f>B12*B16</f>
        <v/>
      </c>
      <c r="C34" s="157">
        <f>B22*B15</f>
        <v/>
      </c>
      <c r="D34" s="118" t="inlineStr">
        <is>
          <t>Misma biomasa de entrada en ambos escenarios: la compra se cancela en la comparación.</t>
        </is>
      </c>
    </row>
    <row r="35" ht="15" customHeight="1" s="106">
      <c r="A35" s="112" t="inlineStr">
        <is>
          <t>Costo de proceso mensual</t>
        </is>
      </c>
      <c r="B35" s="157">
        <f>0</f>
        <v/>
      </c>
      <c r="C35" s="157">
        <f>B22*B17</f>
        <v/>
      </c>
      <c r="D35" s="118" t="n"/>
    </row>
    <row r="36" ht="15" customHeight="1" s="106">
      <c r="A36" s="112" t="inlineStr">
        <is>
          <t>Margen después de flete y proceso</t>
        </is>
      </c>
      <c r="B36" s="157">
        <f>B34-B33-B35</f>
        <v/>
      </c>
      <c r="C36" s="157">
        <f>C34-C33-C35</f>
        <v/>
      </c>
      <c r="D36" s="118" t="inlineStr">
        <is>
          <t>No incluye compra de biomasa ni otros costos (ver H3 y H5).</t>
        </is>
      </c>
    </row>
    <row r="37" ht="15" customHeight="1" s="106">
      <c r="A37" s="112" t="inlineStr">
        <is>
          <t>Flete como % del ingreso</t>
        </is>
      </c>
      <c r="B37" s="132">
        <f>IF(B34&gt;0,B33/B34,"")</f>
        <v/>
      </c>
      <c r="C37" s="132">
        <f>IF(C34&gt;0,C33/C34,"")</f>
        <v/>
      </c>
      <c r="D37" s="118" t="n"/>
    </row>
    <row r="38" ht="15" customHeight="1" s="106">
      <c r="A38" s="112" t="inlineStr">
        <is>
          <t>Densidad de valor</t>
        </is>
      </c>
      <c r="B38" s="156">
        <f>B27</f>
        <v/>
      </c>
      <c r="C38" s="156">
        <f>B26</f>
        <v/>
      </c>
      <c r="D38" s="118" t="n"/>
    </row>
    <row r="39" ht="15" customHeight="1" s="106">
      <c r="A39" s="112" t="inlineStr">
        <is>
          <t>Semáforo</t>
        </is>
      </c>
      <c r="B39" s="161">
        <f>IF(B38="","",IF(B38&lt;3,"Crítica",IF(B38&lt;=10,"Zona de riesgo","Viable")))</f>
        <v/>
      </c>
      <c r="C39" s="161">
        <f>IF(C38="","",IF(C38&lt;3,"Crítica",IF(C38&lt;=10,"Zona de riesgo","Viable")))</f>
        <v/>
      </c>
    </row>
    <row r="40"/>
    <row r="41" ht="15" customHeight="1" s="106">
      <c r="A41" s="112" t="inlineStr">
        <is>
          <t>Ahorro de flete mensual por densificar</t>
        </is>
      </c>
      <c r="B41" s="157">
        <f>B33-C33</f>
        <v/>
      </c>
    </row>
    <row r="42" ht="32.8" customHeight="1" s="106">
      <c r="A42" s="112" t="inlineStr">
        <is>
          <t>Referencia: meses de repago con SOLO el ahorro de flete (método incompleto, no decidas con él)</t>
        </is>
      </c>
      <c r="B42" s="156">
        <f>IF(B41&gt;0,B18/B41,"No se recupera")</f>
        <v/>
      </c>
      <c r="D42" s="118" t="inlineStr">
        <is>
          <t>v2.3: el repago se mide con el margen incremental (bloque siguiente). Con solo el flete, la prensa de sacha inchi parece no pagarse (unos 16 meses por courier; nunca con camión completo), cuando su valor está en el precio del aceite.</t>
        </is>
      </c>
    </row>
    <row r="43"/>
    <row r="44" ht="15" customHeight="1" s="106">
      <c r="A44" s="109" t="inlineStr">
        <is>
          <t>REPAGO DEL EQUIPO CON EL MARGEN INCREMENTAL (MÉTODO DE LA HERRAMIENTA 1)</t>
        </is>
      </c>
      <c r="B44" s="110" t="n"/>
      <c r="C44" s="110" t="n"/>
      <c r="D44" s="110" t="n"/>
    </row>
    <row r="45" ht="23.85" customHeight="1" s="106">
      <c r="A45" s="112" t="inlineStr">
        <is>
          <t>Energía del proceso (generador, electricidad), USD por kg de producto final</t>
        </is>
      </c>
      <c r="B45" s="158" t="n">
        <v>0.3</v>
      </c>
      <c r="D45" s="118" t="inlineStr">
        <is>
          <t>Caso: generador para la prensa, USD 0.30 por kg de aceite (H3, fila E). Pon 0 si ya va en el costo de proceso.</t>
        </is>
      </c>
    </row>
    <row r="46" ht="32.8" customHeight="1" s="106">
      <c r="A46" s="112" t="inlineStr">
        <is>
          <t>Merma adicional por densificar, % del producto final</t>
        </is>
      </c>
      <c r="B46" s="147" t="n">
        <v>0</v>
      </c>
      <c r="D46" s="118" t="inlineStr">
        <is>
          <t>El rendimiento (B12 ÷ B13) ya descuenta la pérdida normal del proceso. Usa esta fila para lo que se pierde además: filtrado, sedimentos, lotes rechazados. Se valoriza al precio de venta. Con 3%, el incremento baja USD 132 al mes.</t>
        </is>
      </c>
    </row>
    <row r="47" ht="32.8" customHeight="1" s="106">
      <c r="A47" s="112" t="inlineStr">
        <is>
          <t>Otros costos que cambian al densificar, USD por mes</t>
        </is>
      </c>
      <c r="B47" s="158" t="n">
        <v>0</v>
      </c>
      <c r="D47" s="118" t="inlineStr">
        <is>
          <t>Participación comunitaria, cumplimiento, empaque y contingencia que suben o bajan con el producto. En el ejemplo del Paso 03 suman unos USD 176 al mes (ver el bloque de H3, abajo).</t>
        </is>
      </c>
    </row>
    <row r="48" ht="22.35" customHeight="1" s="106">
      <c r="A48" s="112" t="inlineStr">
        <is>
          <t>Mantenimiento anual del equipo, % de la inversión</t>
        </is>
      </c>
      <c r="B48" s="147" t="n">
        <v>0</v>
      </c>
      <c r="D48" s="118" t="inlineStr">
        <is>
          <t>El Paso 03 lo deja fuera; en nuestra experiencia, de 3% a 8% al año. Con 5%, USD 63 al mes.</t>
        </is>
      </c>
    </row>
    <row r="49" ht="23.85" customHeight="1" s="106">
      <c r="A49" s="112" t="inlineStr">
        <is>
          <t>Diferencia de precio en valor: ingreso densificado − ingreso sin densificar</t>
        </is>
      </c>
      <c r="B49" s="157">
        <f>C34-B34</f>
        <v/>
      </c>
      <c r="D49" s="118" t="inlineStr">
        <is>
          <t>Misma biomasa de entrada: B22 × precio densificado − B12 × precio sin densificar.</t>
        </is>
      </c>
    </row>
    <row r="50" ht="15" customHeight="1" s="106">
      <c r="A50" s="112" t="inlineStr">
        <is>
          <t>+ Ahorro de flete troncal (con la tarifa real del nuevo peso)</t>
        </is>
      </c>
      <c r="B50" s="157">
        <f>B41</f>
        <v/>
      </c>
      <c r="D50" s="118" t="inlineStr">
        <is>
          <t>Puede ser negativo si el producto densificado viaja con una tarifa más cara.</t>
        </is>
      </c>
    </row>
    <row r="51" ht="15" customHeight="1" s="106">
      <c r="A51" s="112" t="inlineStr">
        <is>
          <t>− Costo de proceso</t>
        </is>
      </c>
      <c r="B51" s="157">
        <f>-C35</f>
        <v/>
      </c>
      <c r="D51" s="118" t="inlineStr">
        <is>
          <t>B22 × costo de proceso por kg.</t>
        </is>
      </c>
    </row>
    <row r="52" ht="15" customHeight="1" s="106">
      <c r="A52" s="112" t="inlineStr">
        <is>
          <t>− Energía del proceso</t>
        </is>
      </c>
      <c r="B52" s="157">
        <f>-B22*B45</f>
        <v/>
      </c>
      <c r="D52" s="118" t="n"/>
    </row>
    <row r="53" ht="15" customHeight="1" s="106">
      <c r="A53" s="112" t="inlineStr">
        <is>
          <t>− Merma adicional valorizada</t>
        </is>
      </c>
      <c r="B53" s="157">
        <f>-B22*B46*B15</f>
        <v/>
      </c>
      <c r="D53" s="118" t="n"/>
    </row>
    <row r="54" ht="15" customHeight="1" s="106">
      <c r="A54" s="112" t="inlineStr">
        <is>
          <t>− Otros costos que cambian y mantenimiento</t>
        </is>
      </c>
      <c r="B54" s="157">
        <f>-B47-B18*B48/12</f>
        <v/>
      </c>
      <c r="D54" s="118" t="n"/>
    </row>
    <row r="55" ht="22.35" customHeight="1" s="106">
      <c r="A55" s="125" t="inlineStr">
        <is>
          <t>Margen incremental mensual por densificar</t>
        </is>
      </c>
      <c r="B55" s="159">
        <f>SUM(B49:B54)</f>
        <v/>
      </c>
      <c r="D55" s="118" t="inlineStr">
        <is>
          <t>Margen mensual densificado − margen mensual sin densificar. Es lo que paga el equipo.</t>
        </is>
      </c>
    </row>
    <row r="56" ht="32.8" customHeight="1" s="106">
      <c r="A56" s="125" t="inlineStr">
        <is>
          <t>Meses de repago = inversión ÷ margen incremental</t>
        </is>
      </c>
      <c r="B56" s="162">
        <f>IF(B55&gt;0,B18/B55,"No se recupera")</f>
        <v/>
      </c>
      <c r="C56" s="161">
        <f>IF(ISNUMBER(B56),IF(B56&lt;12,"Se justifica (&lt; 12 meses)","Revisa (≥ 12 meses)"),"No se justifica")</f>
        <v/>
      </c>
      <c r="D56" s="118" t="inlineStr">
        <is>
          <t>Pregunta de la Herramienta 1. Regla práctica: menos de 12 meses suele justificarse, sin contar el capital de trabajo. Ejemplo precargado (grano y aceite por courier): unos 4.9 meses; con solo el flete saldrían 16.</t>
        </is>
      </c>
    </row>
    <row r="57" ht="43.5" customHeight="1" s="106">
      <c r="A57" s="118" t="inlineStr">
        <is>
          <t>Por qué así: un equipo de densificación se paga con todo lo que cambia al densificar (precio, flete, proceso, energía, merma), no solo con el flete. Con camión completo el flete casi no cambia y la decisión depende del precio del producto densificado. Si el flete del producto densificado no baja en proporción al peso (mínimos por envío, saltos por lote), escribe tu tarifa real en B19.</t>
        </is>
      </c>
    </row>
    <row r="58"/>
    <row r="59" ht="15" customHeight="1" s="106">
      <c r="A59" s="109" t="inlineStr">
        <is>
          <t>CONTROL CON EL MARGEN COMPLETO DE H3 (CIFRAS DEL PASO 03, 3.3)</t>
        </is>
      </c>
      <c r="B59" s="110" t="n"/>
      <c r="C59" s="110" t="n"/>
      <c r="D59" s="110" t="n"/>
    </row>
    <row r="60" ht="22.35" customHeight="1" s="106">
      <c r="A60" s="112" t="inlineStr">
        <is>
          <t>Margen completo por kg de producto densificado (H3, aceite)</t>
        </is>
      </c>
      <c r="B60" s="163" t="n">
        <v>12.65632</v>
      </c>
      <c r="D60" s="118" t="inlineStr">
        <is>
          <t>Después de costo territorial (logística, merma, energía, participación, cumplimiento, contingencia) y de producción. Puedes sobrescribirlo.</t>
        </is>
      </c>
    </row>
    <row r="61" ht="23.85" customHeight="1" s="106">
      <c r="A61" s="112" t="inlineStr">
        <is>
          <t>Margen completo por kg de biomasa vendida sin densificar · lote pequeño por agencia (H3)</t>
        </is>
      </c>
      <c r="B61" s="163" t="n">
        <v>0.4792</v>
      </c>
      <c r="D61" s="118" t="inlineStr">
        <is>
          <t>Grano por agencia de carga (lotes desde ~200 kg): gana poco. Por courier perdería dinero (H3, columna C).</t>
        </is>
      </c>
    </row>
    <row r="62" ht="23.85" customHeight="1" s="106">
      <c r="A62" s="112" t="inlineStr">
        <is>
          <t>Margen completo por kg de biomasa vendida sin densificar · camión completo (H3)</t>
        </is>
      </c>
      <c r="B62" s="163" t="n">
        <v>0.8532</v>
      </c>
      <c r="D62" s="118" t="inlineStr">
        <is>
          <t>Grano de cooperativa con camión completo.</t>
        </is>
      </c>
    </row>
    <row r="63" ht="23.85" customHeight="1" s="106">
      <c r="A63" s="112" t="inlineStr">
        <is>
          <t>Margen incremental mensual · frente a vender grano por agencia</t>
        </is>
      </c>
      <c r="B63" s="157">
        <f>B22*B60-B12*B61</f>
        <v/>
      </c>
    </row>
    <row r="64" ht="23.85" customHeight="1" s="106">
      <c r="A64" s="125" t="inlineStr">
        <is>
          <t>Meses de repago · asociación con lotes pequeños por agencia</t>
        </is>
      </c>
      <c r="B64" s="162">
        <f>IF(B63&gt;0,B18/B63,"No se recupera")</f>
        <v/>
      </c>
      <c r="C64" s="161">
        <f>IF(ISNUMBER(B64),IF(B64&lt;12,"Se justifica (&lt; 12 meses)","Revisa (≥ 12 meses)"),"No se justifica")</f>
        <v/>
      </c>
      <c r="D64" s="118" t="inlineStr">
        <is>
          <t>Paso 03: incremento ≈ USD 2,090/mes; con USD 12,000–18,000, el equipo se paga entre el mes 5.7 y el 8.6 («entre el mes 6 y el 9»).</t>
        </is>
      </c>
    </row>
    <row r="65" ht="23.85" customHeight="1" s="106">
      <c r="A65" s="112" t="inlineStr">
        <is>
          <t>Margen incremental mensual · frente a vender grano en camión completo</t>
        </is>
      </c>
      <c r="B65" s="157">
        <f>B22*B60-B12*B62</f>
        <v/>
      </c>
    </row>
    <row r="66" ht="32.8" customHeight="1" s="106">
      <c r="A66" s="125" t="inlineStr">
        <is>
          <t>Meses de repago · cooperativa con camión completo</t>
        </is>
      </c>
      <c r="B66" s="162">
        <f>IF(B65&gt;0,B18/B65,"No se recupera")</f>
        <v/>
      </c>
      <c r="C66" s="161">
        <f>IF(ISNUMBER(B66),IF(B66&lt;12,"Se justifica (&lt; 12 meses)","Revisa (≥ 12 meses)"),"No se justifica")</f>
        <v/>
      </c>
      <c r="D66" s="118" t="inlineStr">
        <is>
          <t>Paso 03: incremento ≈ USD 1,746/mes; repago de 6.9 a 10.3 meses con USD 12,000–18,000 (el texto dice «7 a 11»). Ya es margen incremental: el método del Paso 03 es el correcto.</t>
        </is>
      </c>
    </row>
    <row r="67" ht="30" customHeight="1" s="106">
      <c r="A67" s="118" t="inlineStr">
        <is>
          <t>Este bloque es el mismo método con el margen completo de H3, que además resta participación comunitaria, cumplimiento, contingencia y empaque. Si en el bloque de arriba escribes esos costos en «Otros costos que cambian», los dos coinciden.</t>
        </is>
      </c>
    </row>
    <row r="68"/>
    <row r="69" ht="15" customHeight="1" s="106">
      <c r="A69" s="109" t="inlineStr">
        <is>
          <t>SENSIBILIDAD: DENSIDAD DE VALOR SEGÚN EL MODO DE TRANSPORTE TRONCAL</t>
        </is>
      </c>
      <c r="B69" s="110" t="n"/>
      <c r="C69" s="110" t="n"/>
      <c r="D69" s="110" t="n"/>
    </row>
    <row r="70" ht="15" customHeight="1" s="106">
      <c r="A70" s="135" t="inlineStr">
        <is>
          <t>Modo</t>
        </is>
      </c>
      <c r="B70" s="135" t="inlineStr">
        <is>
          <t>Tarifa USD/kg (editable)</t>
        </is>
      </c>
      <c r="C70" s="135" t="inlineStr">
        <is>
          <t>DV sin densificar</t>
        </is>
      </c>
      <c r="D70" s="135" t="inlineStr">
        <is>
          <t>DV densificado</t>
        </is>
      </c>
    </row>
    <row r="71" ht="15" customHeight="1" s="106">
      <c r="A71" s="131" t="inlineStr">
        <is>
          <t>Courier puerta a puerta (Paso 01, envío suelto)</t>
        </is>
      </c>
      <c r="B71" s="158" t="n">
        <v>1.3</v>
      </c>
      <c r="C71" s="156">
        <f>IF(B71&gt;0,$B$16/B71,"")</f>
        <v/>
      </c>
      <c r="D71" s="156">
        <f>IF(B71&gt;0,$B$15/B71,"")</f>
        <v/>
      </c>
    </row>
    <row r="72" ht="15" customHeight="1" s="106">
      <c r="A72" s="131">
        <f>"T13 · "&amp;'Parámetros LatAm'!$B$85</f>
        <v/>
      </c>
      <c r="B72" s="158">
        <f>'Parámetros LatAm'!$E$85</f>
        <v/>
      </c>
      <c r="C72" s="156">
        <f>IF(B72&gt;0,$B$16/B72,"")</f>
        <v/>
      </c>
      <c r="D72" s="156">
        <f>IF(B72&gt;0,$B$15/B72,"")</f>
        <v/>
      </c>
    </row>
    <row r="73" ht="15" customHeight="1" s="106">
      <c r="A73" s="131">
        <f>"T01 · "&amp;'Parámetros LatAm'!$B$73</f>
        <v/>
      </c>
      <c r="B73" s="158">
        <f>'Parámetros LatAm'!$E$73</f>
        <v/>
      </c>
      <c r="C73" s="156">
        <f>IF(B73&gt;0,$B$16/B73,"")</f>
        <v/>
      </c>
      <c r="D73" s="156">
        <f>IF(B73&gt;0,$B$15/B73,"")</f>
        <v/>
      </c>
    </row>
    <row r="74" ht="15" customHeight="1" s="106">
      <c r="A74" s="131">
        <f>"T15 · "&amp;'Parámetros LatAm'!$B$87</f>
        <v/>
      </c>
      <c r="B74" s="158">
        <f>'Parámetros LatAm'!$E$87</f>
        <v/>
      </c>
      <c r="C74" s="156">
        <f>IF(B74&gt;0,$B$16/B74,"")</f>
        <v/>
      </c>
      <c r="D74" s="156">
        <f>IF(B74&gt;0,$B$15/B74,"")</f>
        <v/>
      </c>
    </row>
    <row r="75" ht="15" customHeight="1" s="106">
      <c r="A75" s="131">
        <f>"T16 · "&amp;'Parámetros LatAm'!$B$88</f>
        <v/>
      </c>
      <c r="B75" s="158">
        <f>'Parámetros LatAm'!$E$88</f>
        <v/>
      </c>
      <c r="C75" s="156">
        <f>IF(B75&gt;0,$B$16/B75,"")</f>
        <v/>
      </c>
      <c r="D75" s="156">
        <f>IF(B75&gt;0,$B$15/B75,"")</f>
        <v/>
      </c>
    </row>
    <row r="76" ht="15" customHeight="1" s="106">
      <c r="A76" s="131">
        <f>"T17 · "&amp;'Parámetros LatAm'!$B$89</f>
        <v/>
      </c>
      <c r="B76" s="158">
        <f>'Parámetros LatAm'!$E$89</f>
        <v/>
      </c>
      <c r="C76" s="156">
        <f>IF(B76&gt;0,$B$16/B76,"")</f>
        <v/>
      </c>
      <c r="D76" s="156">
        <f>IF(B76&gt;0,$B$15/B76,"")</f>
        <v/>
      </c>
    </row>
    <row r="77"/>
    <row r="78" ht="30" customHeight="1" s="106">
      <c r="A78" s="118" t="inlineStr">
        <is>
          <t>Lección del Paso 01: con el mismo grano, la densidad de valor pasa de 1.5 (courier) a 4.8 (agencia de carga, lotes desde ~200 kg) y a 25 (camión completo). El aceite, aun por courier, llega a casi 17. Consolidar baja el flete; densificar sube el valor de cada kg que viaja.</t>
        </is>
      </c>
    </row>
    <row r="79"/>
    <row r="80" ht="15" customHeight="1" s="106">
      <c r="A80" s="109" t="inlineStr">
        <is>
          <t>MI PAÍS: CONVERSOR A USD Y REFERENCIAS (ELIGE EL PAÍS EN «PARÁMETROS LATAM», CELDA PAIS)</t>
        </is>
      </c>
      <c r="B80" s="110" t="n"/>
      <c r="C80" s="110" t="n"/>
      <c r="D80" s="110" t="n"/>
    </row>
    <row r="81" ht="15" customHeight="1" s="106">
      <c r="A81" s="112" t="inlineStr">
        <is>
          <t>País elegido (PAIS)</t>
        </is>
      </c>
      <c r="B81" s="164">
        <f>PAIS</f>
        <v/>
      </c>
    </row>
    <row r="82" ht="15" customHeight="1" s="106">
      <c r="A82" s="112" t="inlineStr">
        <is>
          <t>Tipo de cambio, moneda local por USD (TC_SEL)</t>
        </is>
      </c>
      <c r="B82" s="165">
        <f>TC_SEL</f>
        <v/>
      </c>
    </row>
    <row r="83" ht="23.85" customHeight="1" s="106">
      <c r="A83" s="112" t="inlineStr">
        <is>
          <t>Monto en moneda local que quieres convertir (tarifa, flete, precio)</t>
        </is>
      </c>
      <c r="B83" s="145" t="n"/>
    </row>
    <row r="84" ht="15" customHeight="1" s="106">
      <c r="A84" s="112" t="inlineStr">
        <is>
          <t>Ese monto en USD</t>
        </is>
      </c>
      <c r="B84" s="159">
        <f>IF(AND(ISNUMBER(B83),ISNUMBER(B82)),IF(B82&gt;0,B83/B82,""),"")</f>
        <v/>
      </c>
    </row>
    <row r="85" ht="15" customHeight="1" s="106">
      <c r="A85" s="112" t="inlineStr">
        <is>
          <t>Salario mínimo mensual en USD (SM_USD_SEL)</t>
        </is>
      </c>
      <c r="B85" s="166">
        <f>SM_USD_SEL</f>
        <v/>
      </c>
    </row>
    <row r="86" ht="15" customHeight="1" s="106">
      <c r="A86" s="112" t="inlineStr">
        <is>
          <t>IVA / IGV general (IVA_SEL)</t>
        </is>
      </c>
      <c r="B86" s="167">
        <f>IVA_SEL</f>
        <v/>
      </c>
    </row>
    <row r="87" ht="15" customHeight="1" s="106">
      <c r="A87" s="112" t="inlineStr">
        <is>
          <t>Impuesto a la renta, régimen general (IR_SEL)</t>
        </is>
      </c>
      <c r="B87" s="167">
        <f>IR_SEL</f>
        <v/>
      </c>
    </row>
    <row r="88" ht="15" customHeight="1" s="106">
      <c r="A88" s="112" t="inlineStr">
        <is>
          <t>Tasa de política monetaria (TPM_SEL)</t>
        </is>
      </c>
      <c r="B88" s="168">
        <f>TPM_SEL</f>
        <v/>
      </c>
    </row>
    <row r="89" ht="30" customHeight="1" s="106">
      <c r="A89" s="118" t="inlineStr">
        <is>
          <t>Escribe en USD las entradas de esta hoja: convierte aquí tus montos locales. Vacío = dato por completar en «Parámetros LatAm». El ejemplo precargado y el caso camu camu (H5, Caja y Capital) siguen en Perú con TC_PEN.</t>
        </is>
      </c>
    </row>
  </sheetData>
  <mergeCells count="6">
    <mergeCell ref="A1:D1"/>
    <mergeCell ref="A67:D67"/>
    <mergeCell ref="A89:D89"/>
    <mergeCell ref="A78:D78"/>
    <mergeCell ref="A57:D57"/>
    <mergeCell ref="B24:D24"/>
  </mergeCells>
  <conditionalFormatting sqref="B26:C26">
    <cfRule type="expression" rank="0" priority="2" equalAverage="0" aboveAverage="0" dxfId="0" text="" percent="0" bottom="0">
      <formula>AND(ISNUMBER($B$26),$B$26&lt;3)</formula>
    </cfRule>
    <cfRule type="expression" rank="0" priority="3" equalAverage="0" aboveAverage="0" dxfId="1" text="" percent="0" bottom="0">
      <formula>AND(ISNUMBER($B$26),$B$26&lt;=10)</formula>
    </cfRule>
    <cfRule type="expression" rank="0" priority="4" equalAverage="0" aboveAverage="0" dxfId="2" text="" percent="0" bottom="0">
      <formula>ISNUMBER($B$26)</formula>
    </cfRule>
  </conditionalFormatting>
  <conditionalFormatting sqref="B27:C27">
    <cfRule type="expression" rank="0" priority="5" equalAverage="0" aboveAverage="0" dxfId="0" text="" percent="0" bottom="0">
      <formula>AND(ISNUMBER($B$27),$B$27&lt;3)</formula>
    </cfRule>
    <cfRule type="expression" rank="0" priority="6" equalAverage="0" aboveAverage="0" dxfId="1" text="" percent="0" bottom="0">
      <formula>AND(ISNUMBER($B$27),$B$27&lt;=10)</formula>
    </cfRule>
    <cfRule type="expression" rank="0" priority="7" equalAverage="0" aboveAverage="0" dxfId="2" text="" percent="0" bottom="0">
      <formula>ISNUMBER($B$27)</formula>
    </cfRule>
  </conditionalFormatting>
  <conditionalFormatting sqref="B38:B39">
    <cfRule type="expression" rank="0" priority="8" equalAverage="0" aboveAverage="0" dxfId="0" text="" percent="0" bottom="0">
      <formula>AND(ISNUMBER($B$38),$B$38&lt;3)</formula>
    </cfRule>
    <cfRule type="expression" rank="0" priority="9" equalAverage="0" aboveAverage="0" dxfId="1" text="" percent="0" bottom="0">
      <formula>AND(ISNUMBER($B$38),$B$38&lt;=10)</formula>
    </cfRule>
    <cfRule type="expression" rank="0" priority="10" equalAverage="0" aboveAverage="0" dxfId="2" text="" percent="0" bottom="0">
      <formula>ISNUMBER($B$38)</formula>
    </cfRule>
  </conditionalFormatting>
  <conditionalFormatting sqref="C38:C39">
    <cfRule type="expression" rank="0" priority="11" equalAverage="0" aboveAverage="0" dxfId="0" text="" percent="0" bottom="0">
      <formula>AND(ISNUMBER($C$38),$C$38&lt;3)</formula>
    </cfRule>
    <cfRule type="expression" rank="0" priority="12" equalAverage="0" aboveAverage="0" dxfId="1" text="" percent="0" bottom="0">
      <formula>AND(ISNUMBER($C$38),$C$38&lt;=10)</formula>
    </cfRule>
    <cfRule type="expression" rank="0" priority="13" equalAverage="0" aboveAverage="0" dxfId="2" text="" percent="0" bottom="0">
      <formula>ISNUMBER($C$38)</formula>
    </cfRule>
  </conditionalFormatting>
  <conditionalFormatting sqref="B56:C56">
    <cfRule type="expression" rank="0" priority="14" equalAverage="0" aboveAverage="0" dxfId="0" text="" percent="0" bottom="0">
      <formula>NOT(ISNUMBER($B$56))</formula>
    </cfRule>
    <cfRule type="expression" rank="0" priority="15" equalAverage="0" aboveAverage="0" dxfId="1" text="" percent="0" bottom="0">
      <formula>$B$56&gt;=12</formula>
    </cfRule>
    <cfRule type="expression" rank="0" priority="16" equalAverage="0" aboveAverage="0" dxfId="2" text="" percent="0" bottom="0">
      <formula>$B$56&lt;12</formula>
    </cfRule>
  </conditionalFormatting>
  <conditionalFormatting sqref="B64:C64">
    <cfRule type="expression" rank="0" priority="17" equalAverage="0" aboveAverage="0" dxfId="0" text="" percent="0" bottom="0">
      <formula>NOT(ISNUMBER($B$64))</formula>
    </cfRule>
    <cfRule type="expression" rank="0" priority="18" equalAverage="0" aboveAverage="0" dxfId="1" text="" percent="0" bottom="0">
      <formula>$B$64&gt;=12</formula>
    </cfRule>
    <cfRule type="expression" rank="0" priority="19" equalAverage="0" aboveAverage="0" dxfId="2" text="" percent="0" bottom="0">
      <formula>$B$64&lt;12</formula>
    </cfRule>
  </conditionalFormatting>
  <conditionalFormatting sqref="B66:C66">
    <cfRule type="expression" rank="0" priority="20" equalAverage="0" aboveAverage="0" dxfId="0" text="" percent="0" bottom="0">
      <formula>NOT(ISNUMBER($B$66))</formula>
    </cfRule>
    <cfRule type="expression" rank="0" priority="21" equalAverage="0" aboveAverage="0" dxfId="1" text="" percent="0" bottom="0">
      <formula>$B$66&gt;=12</formula>
    </cfRule>
    <cfRule type="expression" rank="0" priority="22" equalAverage="0" aboveAverage="0" dxfId="2" text="" percent="0" bottom="0">
      <formula>$B$66&lt;12</formula>
    </cfRule>
  </conditionalFormatting>
  <conditionalFormatting sqref="C71">
    <cfRule type="expression" rank="0" priority="23" equalAverage="0" aboveAverage="0" dxfId="0" text="" percent="0" bottom="0">
      <formula>AND(ISNUMBER($C$71),$C$71&lt;3)</formula>
    </cfRule>
    <cfRule type="expression" rank="0" priority="24" equalAverage="0" aboveAverage="0" dxfId="1" text="" percent="0" bottom="0">
      <formula>AND(ISNUMBER($C$71),$C$71&lt;=10)</formula>
    </cfRule>
    <cfRule type="expression" rank="0" priority="25" equalAverage="0" aboveAverage="0" dxfId="2" text="" percent="0" bottom="0">
      <formula>ISNUMBER($C$71)</formula>
    </cfRule>
  </conditionalFormatting>
  <conditionalFormatting sqref="D71">
    <cfRule type="expression" rank="0" priority="26" equalAverage="0" aboveAverage="0" dxfId="0" text="" percent="0" bottom="0">
      <formula>AND(ISNUMBER($D$71),$D$71&lt;3)</formula>
    </cfRule>
    <cfRule type="expression" rank="0" priority="27" equalAverage="0" aboveAverage="0" dxfId="1" text="" percent="0" bottom="0">
      <formula>AND(ISNUMBER($D$71),$D$71&lt;=10)</formula>
    </cfRule>
    <cfRule type="expression" rank="0" priority="28" equalAverage="0" aboveAverage="0" dxfId="2" text="" percent="0" bottom="0">
      <formula>ISNUMBER($D$71)</formula>
    </cfRule>
  </conditionalFormatting>
  <conditionalFormatting sqref="C72">
    <cfRule type="expression" rank="0" priority="29" equalAverage="0" aboveAverage="0" dxfId="0" text="" percent="0" bottom="0">
      <formula>AND(ISNUMBER($C$72),$C$72&lt;3)</formula>
    </cfRule>
    <cfRule type="expression" rank="0" priority="30" equalAverage="0" aboveAverage="0" dxfId="1" text="" percent="0" bottom="0">
      <formula>AND(ISNUMBER($C$72),$C$72&lt;=10)</formula>
    </cfRule>
    <cfRule type="expression" rank="0" priority="31" equalAverage="0" aboveAverage="0" dxfId="2" text="" percent="0" bottom="0">
      <formula>ISNUMBER($C$72)</formula>
    </cfRule>
  </conditionalFormatting>
  <conditionalFormatting sqref="D72">
    <cfRule type="expression" rank="0" priority="32" equalAverage="0" aboveAverage="0" dxfId="0" text="" percent="0" bottom="0">
      <formula>AND(ISNUMBER($D$72),$D$72&lt;3)</formula>
    </cfRule>
    <cfRule type="expression" rank="0" priority="33" equalAverage="0" aboveAverage="0" dxfId="1" text="" percent="0" bottom="0">
      <formula>AND(ISNUMBER($D$72),$D$72&lt;=10)</formula>
    </cfRule>
    <cfRule type="expression" rank="0" priority="34" equalAverage="0" aboveAverage="0" dxfId="2" text="" percent="0" bottom="0">
      <formula>ISNUMBER($D$72)</formula>
    </cfRule>
  </conditionalFormatting>
  <conditionalFormatting sqref="C73">
    <cfRule type="expression" rank="0" priority="35" equalAverage="0" aboveAverage="0" dxfId="0" text="" percent="0" bottom="0">
      <formula>AND(ISNUMBER($C$73),$C$73&lt;3)</formula>
    </cfRule>
    <cfRule type="expression" rank="0" priority="36" equalAverage="0" aboveAverage="0" dxfId="1" text="" percent="0" bottom="0">
      <formula>AND(ISNUMBER($C$73),$C$73&lt;=10)</formula>
    </cfRule>
    <cfRule type="expression" rank="0" priority="37" equalAverage="0" aboveAverage="0" dxfId="2" text="" percent="0" bottom="0">
      <formula>ISNUMBER($C$73)</formula>
    </cfRule>
  </conditionalFormatting>
  <conditionalFormatting sqref="D73">
    <cfRule type="expression" rank="0" priority="38" equalAverage="0" aboveAverage="0" dxfId="0" text="" percent="0" bottom="0">
      <formula>AND(ISNUMBER($D$73),$D$73&lt;3)</formula>
    </cfRule>
    <cfRule type="expression" rank="0" priority="39" equalAverage="0" aboveAverage="0" dxfId="1" text="" percent="0" bottom="0">
      <formula>AND(ISNUMBER($D$73),$D$73&lt;=10)</formula>
    </cfRule>
    <cfRule type="expression" rank="0" priority="40" equalAverage="0" aboveAverage="0" dxfId="2" text="" percent="0" bottom="0">
      <formula>ISNUMBER($D$73)</formula>
    </cfRule>
  </conditionalFormatting>
  <conditionalFormatting sqref="C74">
    <cfRule type="expression" rank="0" priority="41" equalAverage="0" aboveAverage="0" dxfId="0" text="" percent="0" bottom="0">
      <formula>AND(ISNUMBER($C$74),$C$74&lt;3)</formula>
    </cfRule>
    <cfRule type="expression" rank="0" priority="42" equalAverage="0" aboveAverage="0" dxfId="1" text="" percent="0" bottom="0">
      <formula>AND(ISNUMBER($C$74),$C$74&lt;=10)</formula>
    </cfRule>
    <cfRule type="expression" rank="0" priority="43" equalAverage="0" aboveAverage="0" dxfId="2" text="" percent="0" bottom="0">
      <formula>ISNUMBER($C$74)</formula>
    </cfRule>
  </conditionalFormatting>
  <conditionalFormatting sqref="D74">
    <cfRule type="expression" rank="0" priority="44" equalAverage="0" aboveAverage="0" dxfId="0" text="" percent="0" bottom="0">
      <formula>AND(ISNUMBER($D$74),$D$74&lt;3)</formula>
    </cfRule>
    <cfRule type="expression" rank="0" priority="45" equalAverage="0" aboveAverage="0" dxfId="1" text="" percent="0" bottom="0">
      <formula>AND(ISNUMBER($D$74),$D$74&lt;=10)</formula>
    </cfRule>
    <cfRule type="expression" rank="0" priority="46" equalAverage="0" aboveAverage="0" dxfId="2" text="" percent="0" bottom="0">
      <formula>ISNUMBER($D$74)</formula>
    </cfRule>
  </conditionalFormatting>
  <conditionalFormatting sqref="C75">
    <cfRule type="expression" rank="0" priority="47" equalAverage="0" aboveAverage="0" dxfId="0" text="" percent="0" bottom="0">
      <formula>AND(ISNUMBER($C$75),$C$75&lt;3)</formula>
    </cfRule>
    <cfRule type="expression" rank="0" priority="48" equalAverage="0" aboveAverage="0" dxfId="1" text="" percent="0" bottom="0">
      <formula>AND(ISNUMBER($C$75),$C$75&lt;=10)</formula>
    </cfRule>
    <cfRule type="expression" rank="0" priority="49" equalAverage="0" aboveAverage="0" dxfId="2" text="" percent="0" bottom="0">
      <formula>ISNUMBER($C$75)</formula>
    </cfRule>
  </conditionalFormatting>
  <conditionalFormatting sqref="D75">
    <cfRule type="expression" rank="0" priority="50" equalAverage="0" aboveAverage="0" dxfId="0" text="" percent="0" bottom="0">
      <formula>AND(ISNUMBER($D$75),$D$75&lt;3)</formula>
    </cfRule>
    <cfRule type="expression" rank="0" priority="51" equalAverage="0" aboveAverage="0" dxfId="1" text="" percent="0" bottom="0">
      <formula>AND(ISNUMBER($D$75),$D$75&lt;=10)</formula>
    </cfRule>
    <cfRule type="expression" rank="0" priority="52" equalAverage="0" aboveAverage="0" dxfId="2" text="" percent="0" bottom="0">
      <formula>ISNUMBER($D$75)</formula>
    </cfRule>
  </conditionalFormatting>
  <conditionalFormatting sqref="C76">
    <cfRule type="expression" rank="0" priority="53" equalAverage="0" aboveAverage="0" dxfId="0" text="" percent="0" bottom="0">
      <formula>AND(ISNUMBER($C$76),$C$76&lt;3)</formula>
    </cfRule>
    <cfRule type="expression" rank="0" priority="54" equalAverage="0" aboveAverage="0" dxfId="1" text="" percent="0" bottom="0">
      <formula>AND(ISNUMBER($C$76),$C$76&lt;=10)</formula>
    </cfRule>
    <cfRule type="expression" rank="0" priority="55" equalAverage="0" aboveAverage="0" dxfId="2" text="" percent="0" bottom="0">
      <formula>ISNUMBER($C$76)</formula>
    </cfRule>
  </conditionalFormatting>
  <conditionalFormatting sqref="D76">
    <cfRule type="expression" rank="0" priority="56" equalAverage="0" aboveAverage="0" dxfId="0" text="" percent="0" bottom="0">
      <formula>AND(ISNUMBER($D$76),$D$76&lt;3)</formula>
    </cfRule>
    <cfRule type="expression" rank="0" priority="57" equalAverage="0" aboveAverage="0" dxfId="1" text="" percent="0" bottom="0">
      <formula>AND(ISNUMBER($D$76),$D$76&lt;=10)</formula>
    </cfRule>
    <cfRule type="expression" rank="0" priority="58" equalAverage="0" aboveAverage="0" dxfId="2" text="" percent="0" bottom="0">
      <formula>ISNUMBER($D$76)</formula>
    </cfRule>
  </conditionalFormatting>
  <dataValidations count="2">
    <dataValidation sqref="B5" showDropDown="0" showInputMessage="0" showErrorMessage="0" allowBlank="1" errorTitle="Valor no válido" error="Elige un valor de la lista" type="list" errorStyle="stop" operator="between">
      <formula1>lista_productos</formula1>
      <formula2>0</formula2>
    </dataValidation>
    <dataValidation sqref="B8" showDropDown="0" showInputMessage="0" showErrorMessage="0" allowBlank="1" errorTitle="Valor no válido" error="Elige un valor de la lista" type="list" errorStyle="stop" operator="between">
      <formula1>lista_transporte</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es-PE</dc:language>
  <dcterms:created xmlns:dcterms="http://purl.org/dc/terms/" xmlns:xsi="http://www.w3.org/2001/XMLSchema-instance" xsi:type="dcterms:W3CDTF">2026-10-06T00:53:16Z</dcterms:created>
  <dcterms:modified xmlns:dcterms="http://purl.org/dc/terms/" xmlns:xsi="http://www.w3.org/2001/XMLSchema-instance" xsi:type="dcterms:W3CDTF">2026-10-08T07:08:31Z</dcterms:modified>
  <cp:revision>0</cp:revision>
</cp:coreProperties>
</file>